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nolist/ownCloud/HALHF/"/>
    </mc:Choice>
  </mc:AlternateContent>
  <xr:revisionPtr revIDLastSave="0" documentId="13_ncr:20001_{42A908FB-ABA9-704A-80F9-8E9436CFE346}" xr6:coauthVersionLast="47" xr6:coauthVersionMax="47" xr10:uidLastSave="{00000000-0000-0000-0000-000000000000}"/>
  <bookViews>
    <workbookView xWindow="4020" yWindow="460" windowWidth="26840" windowHeight="19520" activeTab="1" xr2:uid="{F7C7441B-3F5B-5A49-87AF-C157855C49F1}"/>
  </bookViews>
  <sheets>
    <sheet name="Title" sheetId="1" r:id="rId1"/>
    <sheet name="Main Parameters" sheetId="2" r:id="rId2"/>
    <sheet name="Constants etc." sheetId="3" r:id="rId3"/>
    <sheet name="Notes and Remarks" sheetId="4" r:id="rId4"/>
  </sheets>
  <externalReferences>
    <externalReference r:id="rId5"/>
  </externalReferences>
  <definedNames>
    <definedName name="c0">[1]Sheet2!$D$5</definedName>
    <definedName name="ClassicalElectronRadius">'Constants etc.'!$E$4</definedName>
    <definedName name="e">[1]Sheet2!$D$6</definedName>
    <definedName name="ElectronCharge">'Constants etc.'!$E$9</definedName>
    <definedName name="ElectronComptonWavelength">'Constants etc.'!$E$5</definedName>
    <definedName name="ElectronMasskg">'Constants etc.'!$E$7</definedName>
    <definedName name="ElectronRestMass">'Constants etc.'!$E$6</definedName>
    <definedName name="eps0">[1]Sheet2!$D$8</definedName>
    <definedName name="FineStructureConstant">'Constants etc.'!$E$3</definedName>
    <definedName name="Frequency">'Constants etc.'!#REF!</definedName>
    <definedName name="LCAV">'Constants etc.'!#REF!</definedName>
    <definedName name="me">[1]Sheet2!$D$7</definedName>
    <definedName name="ReciprocalFineStructureConstant">'Constants etc.'!$E$3</definedName>
    <definedName name="RoverQ">'Constants etc.'!#REF!</definedName>
    <definedName name="SpeedOfLight">'Constants etc.'!$E$8</definedName>
    <definedName name="Vac_permeability">'Constants etc.'!$E$11</definedName>
    <definedName name="Vac_permittivity">'Constants etc.'!$E$10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95" i="2" l="1"/>
  <c r="F99" i="2"/>
  <c r="F103" i="2"/>
  <c r="G72" i="2"/>
  <c r="F72" i="2"/>
  <c r="F79" i="2"/>
  <c r="F78" i="2"/>
  <c r="F77" i="2"/>
  <c r="F67" i="2"/>
  <c r="G55" i="2"/>
  <c r="G56" i="2" s="1"/>
  <c r="G57" i="2" s="1"/>
  <c r="G58" i="2"/>
  <c r="G66" i="2" s="1"/>
  <c r="F55" i="2"/>
  <c r="F56" i="2" s="1"/>
  <c r="F57" i="2" s="1"/>
  <c r="F58" i="2"/>
  <c r="F66" i="2" s="1"/>
  <c r="G86" i="2"/>
  <c r="G87" i="2" s="1"/>
  <c r="F87" i="2"/>
  <c r="F82" i="2"/>
  <c r="F13" i="2"/>
  <c r="F81" i="2" s="1"/>
  <c r="F97" i="2" s="1"/>
  <c r="G81" i="2"/>
  <c r="F48" i="2"/>
  <c r="G52" i="2" s="1"/>
  <c r="G67" i="2" s="1"/>
  <c r="G20" i="2"/>
  <c r="G23" i="2" s="1"/>
  <c r="G24" i="2" s="1"/>
  <c r="F20" i="2"/>
  <c r="F23" i="2" s="1"/>
  <c r="F24" i="2" s="1"/>
  <c r="F17" i="2"/>
  <c r="G12" i="2"/>
  <c r="G33" i="2" s="1"/>
  <c r="G41" i="2" s="1"/>
  <c r="F12" i="2"/>
  <c r="F33" i="2" s="1"/>
  <c r="F41" i="2" s="1"/>
  <c r="E3" i="3"/>
  <c r="F7" i="2"/>
  <c r="G94" i="2" l="1"/>
  <c r="G92" i="2"/>
  <c r="F21" i="2"/>
  <c r="F22" i="2" s="1"/>
  <c r="F84" i="2"/>
  <c r="G85" i="2" s="1"/>
  <c r="F80" i="2"/>
  <c r="F92" i="2"/>
  <c r="F49" i="2"/>
  <c r="F32" i="2"/>
  <c r="F40" i="2" s="1"/>
  <c r="G32" i="2"/>
  <c r="G40" i="2" s="1"/>
  <c r="F39" i="2"/>
  <c r="G39" i="2"/>
  <c r="G21" i="2"/>
  <c r="G22" i="2" s="1"/>
  <c r="F93" i="2" l="1"/>
  <c r="F101" i="2" s="1"/>
  <c r="F94" i="2"/>
  <c r="F88" i="2"/>
  <c r="F90" i="2" s="1"/>
  <c r="G88" i="2"/>
  <c r="G90" i="2" s="1"/>
  <c r="G61" i="2"/>
  <c r="G68" i="2" s="1"/>
  <c r="G69" i="2" s="1"/>
  <c r="F61" i="2"/>
  <c r="F68" i="2" s="1"/>
  <c r="F69" i="2" s="1"/>
  <c r="F53" i="2"/>
  <c r="F38" i="2"/>
  <c r="G53" i="2"/>
  <c r="G38" i="2"/>
  <c r="F89" i="2" l="1"/>
  <c r="F62" i="2"/>
  <c r="G62" i="2"/>
  <c r="F91" i="2" l="1"/>
  <c r="F100" i="2"/>
</calcChain>
</file>

<file path=xl/sharedStrings.xml><?xml version="1.0" encoding="utf-8"?>
<sst xmlns="http://schemas.openxmlformats.org/spreadsheetml/2006/main" count="252" uniqueCount="193">
  <si>
    <t>HALFH Main Parameters</t>
  </si>
  <si>
    <t>Version History</t>
  </si>
  <si>
    <t>Version</t>
  </si>
  <si>
    <t>Date</t>
  </si>
  <si>
    <t>Changes</t>
  </si>
  <si>
    <t>0.1</t>
  </si>
  <si>
    <t>First Version</t>
  </si>
  <si>
    <t>Quantity</t>
  </si>
  <si>
    <t>Symbol</t>
  </si>
  <si>
    <t>Unit</t>
  </si>
  <si>
    <t>Center of Mass Energy</t>
  </si>
  <si>
    <t>GeV</t>
  </si>
  <si>
    <t>Luminosity</t>
  </si>
  <si>
    <t>Center of Mass Boost</t>
  </si>
  <si>
    <t>Collision rate</t>
  </si>
  <si>
    <t>Hz</t>
  </si>
  <si>
    <t>Number of bunches</t>
  </si>
  <si>
    <r>
      <t>×10</t>
    </r>
    <r>
      <rPr>
        <vertAlign val="superscript"/>
        <sz val="12"/>
        <rFont val="Calibri"/>
        <family val="2"/>
        <scheme val="minor"/>
      </rPr>
      <t>10</t>
    </r>
    <r>
      <rPr>
        <sz val="12"/>
        <rFont val="Calibri"/>
        <family val="2"/>
        <scheme val="minor"/>
      </rPr>
      <t xml:space="preserve"> </t>
    </r>
  </si>
  <si>
    <r>
      <rPr>
        <i/>
        <sz val="14"/>
        <color theme="1"/>
        <rFont val="Calibri"/>
        <family val="2"/>
        <scheme val="minor"/>
      </rPr>
      <t>E</t>
    </r>
    <r>
      <rPr>
        <vertAlign val="subscript"/>
        <sz val="14"/>
        <color theme="1"/>
        <rFont val="Calibri (Body)"/>
      </rPr>
      <t xml:space="preserve">cm </t>
    </r>
  </si>
  <si>
    <r>
      <t>f</t>
    </r>
    <r>
      <rPr>
        <i/>
        <vertAlign val="subscript"/>
        <sz val="14"/>
        <rFont val="Calibri"/>
        <family val="2"/>
        <scheme val="minor"/>
      </rPr>
      <t>rep</t>
    </r>
  </si>
  <si>
    <r>
      <t>n</t>
    </r>
    <r>
      <rPr>
        <i/>
        <vertAlign val="subscript"/>
        <sz val="14"/>
        <rFont val="Calibri"/>
        <family val="2"/>
        <scheme val="minor"/>
      </rPr>
      <t>b</t>
    </r>
  </si>
  <si>
    <t>e-</t>
  </si>
  <si>
    <t>e+</t>
  </si>
  <si>
    <t>Beam Energy</t>
  </si>
  <si>
    <t>Bunch population</t>
  </si>
  <si>
    <t>N</t>
  </si>
  <si>
    <t>Av. Beam Current</t>
  </si>
  <si>
    <t xml:space="preserve"> </t>
  </si>
  <si>
    <t>Bunch length in linac</t>
  </si>
  <si>
    <t>μm</t>
  </si>
  <si>
    <t>Bunch length at IP</t>
  </si>
  <si>
    <t>Energy spread</t>
  </si>
  <si>
    <t>%</t>
  </si>
  <si>
    <t>nm</t>
  </si>
  <si>
    <t>IP horizontal beta function</t>
  </si>
  <si>
    <t>mm</t>
  </si>
  <si>
    <t>IP vertical beta function (no TF)</t>
  </si>
  <si>
    <r>
      <t>β</t>
    </r>
    <r>
      <rPr>
        <i/>
        <vertAlign val="subscript"/>
        <sz val="12"/>
        <rFont val="Calibri"/>
        <family val="2"/>
        <scheme val="minor"/>
      </rPr>
      <t>x</t>
    </r>
    <r>
      <rPr>
        <i/>
        <sz val="12"/>
        <rFont val="Calibri"/>
        <family val="2"/>
        <scheme val="minor"/>
      </rPr>
      <t>*</t>
    </r>
  </si>
  <si>
    <r>
      <t>β</t>
    </r>
    <r>
      <rPr>
        <i/>
        <vertAlign val="subscript"/>
        <sz val="12"/>
        <rFont val="Calibri"/>
        <family val="2"/>
        <scheme val="minor"/>
      </rPr>
      <t>y</t>
    </r>
    <r>
      <rPr>
        <i/>
        <sz val="12"/>
        <rFont val="Calibri"/>
        <family val="2"/>
        <scheme val="minor"/>
      </rPr>
      <t>*</t>
    </r>
  </si>
  <si>
    <t>IP RMS horizontal beam size</t>
  </si>
  <si>
    <t>IP RMS vertical beam size (no TF)</t>
  </si>
  <si>
    <t xml:space="preserve">IP RMS horizontal angular dispersion </t>
  </si>
  <si>
    <t>μrad</t>
  </si>
  <si>
    <t>IP RMS vertical angular dispersion</t>
  </si>
  <si>
    <r>
      <t>𝜎</t>
    </r>
    <r>
      <rPr>
        <i/>
        <vertAlign val="subscript"/>
        <sz val="12"/>
        <rFont val="Calibri"/>
        <family val="2"/>
        <scheme val="minor"/>
      </rPr>
      <t>x</t>
    </r>
    <r>
      <rPr>
        <i/>
        <sz val="12"/>
        <rFont val="Calibri"/>
        <family val="2"/>
        <scheme val="minor"/>
      </rPr>
      <t>*</t>
    </r>
  </si>
  <si>
    <r>
      <t>𝜎</t>
    </r>
    <r>
      <rPr>
        <i/>
        <vertAlign val="subscript"/>
        <sz val="12"/>
        <rFont val="Calibri"/>
        <family val="2"/>
        <scheme val="minor"/>
      </rPr>
      <t>y</t>
    </r>
    <r>
      <rPr>
        <i/>
        <sz val="12"/>
        <rFont val="Calibri"/>
        <family val="2"/>
        <scheme val="minor"/>
      </rPr>
      <t>*</t>
    </r>
  </si>
  <si>
    <r>
      <t>𝜎</t>
    </r>
    <r>
      <rPr>
        <i/>
        <vertAlign val="subscript"/>
        <sz val="12"/>
        <rFont val="Calibri"/>
        <family val="2"/>
        <scheme val="minor"/>
      </rPr>
      <t>x'</t>
    </r>
    <r>
      <rPr>
        <i/>
        <sz val="12"/>
        <rFont val="Calibri"/>
        <family val="2"/>
        <scheme val="minor"/>
      </rPr>
      <t>*</t>
    </r>
  </si>
  <si>
    <r>
      <t>𝜎</t>
    </r>
    <r>
      <rPr>
        <i/>
        <vertAlign val="subscript"/>
        <sz val="12"/>
        <rFont val="Calibri"/>
        <family val="2"/>
        <scheme val="minor"/>
      </rPr>
      <t>y'</t>
    </r>
    <r>
      <rPr>
        <i/>
        <sz val="12"/>
        <rFont val="Calibri"/>
        <family val="2"/>
        <scheme val="minor"/>
      </rPr>
      <t>*</t>
    </r>
  </si>
  <si>
    <t>Lorentz factor</t>
  </si>
  <si>
    <t>g</t>
  </si>
  <si>
    <t>Physical Constants</t>
  </si>
  <si>
    <t>Fine structure constant</t>
  </si>
  <si>
    <t>a</t>
  </si>
  <si>
    <t>Classical Electron Radius</t>
  </si>
  <si>
    <t>m</t>
  </si>
  <si>
    <t>Electron Compton Wavelenght</t>
  </si>
  <si>
    <t>Electron Rest Mass</t>
  </si>
  <si>
    <t>Speed of Light</t>
  </si>
  <si>
    <t>c</t>
  </si>
  <si>
    <t>m/s</t>
  </si>
  <si>
    <t>Electron charge</t>
  </si>
  <si>
    <t>e</t>
  </si>
  <si>
    <t>C</t>
  </si>
  <si>
    <r>
      <t>r</t>
    </r>
    <r>
      <rPr>
        <i/>
        <vertAlign val="subscript"/>
        <sz val="12"/>
        <rFont val="Calibri"/>
        <family val="2"/>
        <scheme val="minor"/>
      </rPr>
      <t>e</t>
    </r>
  </si>
  <si>
    <r>
      <t>l</t>
    </r>
    <r>
      <rPr>
        <i/>
        <vertAlign val="subscript"/>
        <sz val="12"/>
        <rFont val="Calibri"/>
        <family val="2"/>
        <scheme val="minor"/>
      </rPr>
      <t>e</t>
    </r>
  </si>
  <si>
    <r>
      <t>m</t>
    </r>
    <r>
      <rPr>
        <i/>
        <vertAlign val="subscript"/>
        <sz val="12"/>
        <rFont val="Calibri"/>
        <family val="2"/>
        <scheme val="minor"/>
      </rPr>
      <t>e</t>
    </r>
  </si>
  <si>
    <t>Av. Beam Power</t>
  </si>
  <si>
    <t>Av bunch frequency</t>
  </si>
  <si>
    <t>kHz</t>
  </si>
  <si>
    <t>mA</t>
  </si>
  <si>
    <t>μA</t>
  </si>
  <si>
    <t>MW</t>
  </si>
  <si>
    <t>Bunch separation</t>
  </si>
  <si>
    <t>ns</t>
  </si>
  <si>
    <t>Beam Current in Pulse</t>
  </si>
  <si>
    <t>Beam Power in Pulse</t>
  </si>
  <si>
    <t>GW</t>
  </si>
  <si>
    <t>Bunch charge</t>
  </si>
  <si>
    <t>nC</t>
  </si>
  <si>
    <r>
      <t>q</t>
    </r>
    <r>
      <rPr>
        <i/>
        <vertAlign val="subscript"/>
        <sz val="14"/>
        <rFont val="Calibri (Body)"/>
      </rPr>
      <t>b</t>
    </r>
  </si>
  <si>
    <t>Baseline: Paper</t>
  </si>
  <si>
    <t>Norm. Horizontal emittance</t>
  </si>
  <si>
    <t>Norm. Vertical emittance</t>
  </si>
  <si>
    <t>Geom. Horizontal emittance</t>
  </si>
  <si>
    <r>
      <t>ε</t>
    </r>
    <r>
      <rPr>
        <i/>
        <vertAlign val="subscript"/>
        <sz val="12"/>
        <rFont val="Calibri"/>
        <family val="2"/>
        <scheme val="minor"/>
      </rPr>
      <t>x</t>
    </r>
  </si>
  <si>
    <r>
      <t>𝛾ε</t>
    </r>
    <r>
      <rPr>
        <i/>
        <vertAlign val="subscript"/>
        <sz val="12"/>
        <rFont val="Calibri"/>
        <family val="2"/>
        <scheme val="minor"/>
      </rPr>
      <t>x</t>
    </r>
  </si>
  <si>
    <r>
      <t>𝛾ε</t>
    </r>
    <r>
      <rPr>
        <i/>
        <vertAlign val="subscript"/>
        <sz val="12"/>
        <rFont val="Calibri"/>
        <family val="2"/>
        <scheme val="minor"/>
      </rPr>
      <t>y</t>
    </r>
  </si>
  <si>
    <r>
      <t>ε</t>
    </r>
    <r>
      <rPr>
        <i/>
        <vertAlign val="subscript"/>
        <sz val="12"/>
        <rFont val="Calibri"/>
        <family val="2"/>
        <scheme val="minor"/>
      </rPr>
      <t>y</t>
    </r>
  </si>
  <si>
    <t>pm</t>
  </si>
  <si>
    <t>Plasma Parameters</t>
  </si>
  <si>
    <t>Number of stages</t>
  </si>
  <si>
    <t>Injection energy</t>
  </si>
  <si>
    <t>Final energy</t>
  </si>
  <si>
    <t>End Energy</t>
  </si>
  <si>
    <t>Drive Beam energy</t>
  </si>
  <si>
    <t>length of drive pulse</t>
  </si>
  <si>
    <t>time for positron pulse</t>
  </si>
  <si>
    <t>Main Bunch separation</t>
  </si>
  <si>
    <t>Drive Beam Energy</t>
  </si>
  <si>
    <t>Stage 1</t>
  </si>
  <si>
    <t>Stage 2-n</t>
  </si>
  <si>
    <t>Stage acceleration</t>
  </si>
  <si>
    <t>Transformer ratio</t>
  </si>
  <si>
    <t>Ratio gain / DB energy</t>
  </si>
  <si>
    <t>Plasma density</t>
  </si>
  <si>
    <t>cm-3</t>
  </si>
  <si>
    <t>Plasma freq</t>
  </si>
  <si>
    <t>omega_b</t>
  </si>
  <si>
    <t>Plasma wavenumber</t>
  </si>
  <si>
    <t>kb</t>
  </si>
  <si>
    <t>1/m</t>
  </si>
  <si>
    <t>Plasma wavelength</t>
  </si>
  <si>
    <t>lambda</t>
  </si>
  <si>
    <t>um</t>
  </si>
  <si>
    <t>Max gradient</t>
  </si>
  <si>
    <t>E_WB</t>
  </si>
  <si>
    <t>GV/m</t>
  </si>
  <si>
    <t>Vacuum permittivity</t>
  </si>
  <si>
    <t>C/V m</t>
  </si>
  <si>
    <t>Vacuum permeability</t>
  </si>
  <si>
    <t>N/A2</t>
  </si>
  <si>
    <t>ε_0</t>
  </si>
  <si>
    <t>μ_0</t>
  </si>
  <si>
    <t>Electron Mass</t>
  </si>
  <si>
    <t>me</t>
  </si>
  <si>
    <t>kg</t>
  </si>
  <si>
    <t>Gradient</t>
  </si>
  <si>
    <t>Fraction max gradient</t>
  </si>
  <si>
    <t>Driver to wake efficiency</t>
  </si>
  <si>
    <t>Outgoing drive beam energy</t>
  </si>
  <si>
    <t>cell length</t>
  </si>
  <si>
    <t>Drive beam gradient</t>
  </si>
  <si>
    <t>Drive beam energy dep</t>
  </si>
  <si>
    <t>av current in pulse</t>
  </si>
  <si>
    <t>Number of plasma stages</t>
  </si>
  <si>
    <t>Total current in pulse</t>
  </si>
  <si>
    <t xml:space="preserve">av current  </t>
  </si>
  <si>
    <t>Main bunch rate</t>
  </si>
  <si>
    <t>av current total</t>
  </si>
  <si>
    <t>av power to beam</t>
  </si>
  <si>
    <t>Observations</t>
  </si>
  <si>
    <t>Number of stages need not be equal to beam energy ration, is probably higher</t>
  </si>
  <si>
    <t>electron and positron drive beam energy may be different (different off-crest value), can be used to adjust beam loading - maybe go for equal beam loading</t>
  </si>
  <si>
    <t>ration of energy gain par stage to drive beam energy is critical; maybe a bit on the high side here</t>
  </si>
  <si>
    <t>work out structure within 80ns pulsew, currently 16 drive bunches and 1 positron bunch = 17-18 slices not 16</t>
  </si>
  <si>
    <t>consider whether drive beam for 1st stage has different properties (smaller charge)</t>
  </si>
  <si>
    <t>what is the rationale for the chosen plasma density? Smaller density -&gt; longer bunches (good), longer cells -&gt; lower power density -&gt; good</t>
  </si>
  <si>
    <t>what is the true ratio between gradient on drive beam and whitness beam? Should that be close to 1? -&gt; number of stages can be different (higher) from ratio between colliding beam energies</t>
  </si>
  <si>
    <t>awfully large drive ebeam pulse current</t>
  </si>
  <si>
    <t>fundamental parameters:</t>
  </si>
  <si>
    <t>centre-of mass energy</t>
  </si>
  <si>
    <t>luminosity</t>
  </si>
  <si>
    <t>beam energy ratio</t>
  </si>
  <si>
    <t>beam current ratio</t>
  </si>
  <si>
    <t>secondary parameters</t>
  </si>
  <si>
    <t>bunch charge</t>
  </si>
  <si>
    <t>number of plasma stages</t>
  </si>
  <si>
    <t>drive beam bunch separation / current</t>
  </si>
  <si>
    <t>drive beam energy</t>
  </si>
  <si>
    <t>tertiary parameters</t>
  </si>
  <si>
    <t xml:space="preserve">emittance at IP, beta function at IP, transverse beamsize at IP </t>
  </si>
  <si>
    <t>energy spread at IP, bunch length at IP</t>
  </si>
  <si>
    <t>plasma density</t>
  </si>
  <si>
    <t>drive beam accelerator RF frequency</t>
  </si>
  <si>
    <t>bunch sizes (transverse, longitudinal) in plasma accelerator</t>
  </si>
  <si>
    <t>gradients in plasma accelerator, transformer ratio</t>
  </si>
  <si>
    <t>collisions per second -&gt; overall current, positron intensity</t>
  </si>
  <si>
    <t>repetition rate -&gt; DR damping time</t>
  </si>
  <si>
    <t>bunches per pulse -&gt; pulse length, DR circumference</t>
  </si>
  <si>
    <t>DR circumference / revolution frequency / current</t>
  </si>
  <si>
    <t xml:space="preserve">Average gradient </t>
  </si>
  <si>
    <t>MV/m</t>
  </si>
  <si>
    <t>Drive beam bunch length</t>
  </si>
  <si>
    <t>Whitness beam bunch length</t>
  </si>
  <si>
    <t>Gradient in structure</t>
  </si>
  <si>
    <t>RF Frequency</t>
  </si>
  <si>
    <t>GHz</t>
  </si>
  <si>
    <t>Bucket length</t>
  </si>
  <si>
    <t>Fill fraction</t>
  </si>
  <si>
    <t>MW/m</t>
  </si>
  <si>
    <t>kW/m</t>
  </si>
  <si>
    <t>Av RF to beam  in structure</t>
  </si>
  <si>
    <t xml:space="preserve">Length   </t>
  </si>
  <si>
    <t>km</t>
  </si>
  <si>
    <t>RF to beam in pulse per m</t>
  </si>
  <si>
    <t>Power to beam in pulse</t>
  </si>
  <si>
    <t>HALHF Main Parameters</t>
  </si>
  <si>
    <t>L</t>
  </si>
  <si>
    <r>
      <t>10</t>
    </r>
    <r>
      <rPr>
        <vertAlign val="superscript"/>
        <sz val="12"/>
        <color theme="1"/>
        <rFont val="Calibri (Body)"/>
      </rPr>
      <t>34</t>
    </r>
    <r>
      <rPr>
        <sz val="12"/>
        <color theme="1"/>
        <rFont val="Calibri"/>
        <family val="2"/>
        <scheme val="minor"/>
      </rPr>
      <t xml:space="preserve"> cm</t>
    </r>
    <r>
      <rPr>
        <vertAlign val="superscript"/>
        <sz val="12"/>
        <color theme="1"/>
        <rFont val="Calibri (Body)"/>
      </rPr>
      <t>-2</t>
    </r>
    <r>
      <rPr>
        <sz val="12"/>
        <color theme="1"/>
        <rFont val="Calibri"/>
        <family val="2"/>
        <scheme val="minor"/>
      </rPr>
      <t xml:space="preserve"> s</t>
    </r>
    <r>
      <rPr>
        <vertAlign val="superscript"/>
        <sz val="12"/>
        <color theme="1"/>
        <rFont val="Calibri (Body)"/>
      </rPr>
      <t>-1</t>
    </r>
  </si>
  <si>
    <r>
      <t>γ</t>
    </r>
    <r>
      <rPr>
        <i/>
        <vertAlign val="subscript"/>
        <sz val="12"/>
        <rFont val="Calibri (Body)"/>
      </rPr>
      <t>CM</t>
    </r>
  </si>
  <si>
    <t>γ</t>
  </si>
  <si>
    <t>Drive Linac Parameters</t>
  </si>
  <si>
    <t>try to level beam loading: use 4/2.7*4ns = 6ns, would result in 70ns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</si>
</sst>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Verdana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vertAlign val="subscript"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bscript"/>
      <sz val="14"/>
      <color theme="1"/>
      <name val="Calibri (Body)"/>
    </font>
    <font>
      <i/>
      <sz val="14"/>
      <name val="Calibri"/>
      <family val="2"/>
      <scheme val="minor"/>
    </font>
    <font>
      <i/>
      <vertAlign val="subscript"/>
      <sz val="14"/>
      <name val="Calibri"/>
      <family val="2"/>
      <scheme val="minor"/>
    </font>
    <font>
      <i/>
      <sz val="12"/>
      <name val="Symbol"/>
      <charset val="2"/>
    </font>
    <font>
      <b/>
      <sz val="14"/>
      <name val="Verdana"/>
      <family val="2"/>
    </font>
    <font>
      <sz val="12"/>
      <color indexed="9"/>
      <name val="Calibri"/>
      <family val="2"/>
      <scheme val="minor"/>
    </font>
    <font>
      <i/>
      <vertAlign val="subscript"/>
      <sz val="14"/>
      <name val="Calibri (Body)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vertAlign val="superscript"/>
      <sz val="12"/>
      <color theme="1"/>
      <name val="Calibri (Body)"/>
    </font>
    <font>
      <i/>
      <sz val="12"/>
      <name val="Calibri (Body)"/>
    </font>
    <font>
      <i/>
      <vertAlign val="subscript"/>
      <sz val="12"/>
      <name val="Calibri (Body)"/>
    </font>
  </fonts>
  <fills count="6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9">
    <xf numFmtId="0" fontId="0" fillId="0" borderId="0" xfId="0"/>
    <xf numFmtId="0" fontId="4" fillId="0" borderId="0" xfId="0" applyFont="1"/>
    <xf numFmtId="0" fontId="7" fillId="0" borderId="0" xfId="2" applyFont="1"/>
    <xf numFmtId="0" fontId="17" fillId="0" borderId="0" xfId="2" applyFont="1"/>
    <xf numFmtId="0" fontId="5" fillId="0" borderId="0" xfId="2"/>
    <xf numFmtId="11" fontId="5" fillId="0" borderId="0" xfId="2" applyNumberFormat="1"/>
    <xf numFmtId="0" fontId="18" fillId="2" borderId="2" xfId="2" applyFont="1" applyFill="1" applyBorder="1"/>
    <xf numFmtId="0" fontId="18" fillId="2" borderId="1" xfId="2" applyFont="1" applyFill="1" applyBorder="1"/>
    <xf numFmtId="0" fontId="7" fillId="0" borderId="3" xfId="2" applyFont="1" applyBorder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4" xfId="2" applyFont="1" applyBorder="1"/>
    <xf numFmtId="0" fontId="8" fillId="0" borderId="5" xfId="2" applyFont="1" applyBorder="1" applyAlignment="1">
      <alignment horizontal="center"/>
    </xf>
    <xf numFmtId="11" fontId="7" fillId="0" borderId="6" xfId="2" applyNumberFormat="1" applyFont="1" applyBorder="1"/>
    <xf numFmtId="0" fontId="18" fillId="2" borderId="0" xfId="2" applyFont="1" applyFill="1"/>
    <xf numFmtId="0" fontId="18" fillId="2" borderId="6" xfId="2" applyFont="1" applyFill="1" applyBorder="1"/>
    <xf numFmtId="0" fontId="7" fillId="0" borderId="8" xfId="2" applyFont="1" applyBorder="1"/>
    <xf numFmtId="11" fontId="7" fillId="0" borderId="7" xfId="2" applyNumberFormat="1" applyFont="1" applyBorder="1"/>
    <xf numFmtId="11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9" xfId="0" applyNumberFormat="1" applyBorder="1"/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5" xfId="0" applyBorder="1"/>
    <xf numFmtId="0" fontId="0" fillId="0" borderId="12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1" fillId="0" borderId="0" xfId="0" applyFont="1" applyBorder="1"/>
    <xf numFmtId="1" fontId="0" fillId="0" borderId="18" xfId="0" applyNumberFormat="1" applyBorder="1" applyAlignment="1">
      <alignment horizontal="center"/>
    </xf>
    <xf numFmtId="0" fontId="6" fillId="0" borderId="17" xfId="2" applyFont="1" applyBorder="1"/>
    <xf numFmtId="0" fontId="16" fillId="0" borderId="0" xfId="2" applyFont="1" applyBorder="1"/>
    <xf numFmtId="11" fontId="0" fillId="0" borderId="18" xfId="0" applyNumberFormat="1" applyBorder="1"/>
    <xf numFmtId="0" fontId="7" fillId="0" borderId="17" xfId="2" applyFont="1" applyBorder="1"/>
    <xf numFmtId="0" fontId="14" fillId="0" borderId="0" xfId="2" applyFont="1" applyBorder="1"/>
    <xf numFmtId="0" fontId="0" fillId="0" borderId="18" xfId="0" applyBorder="1" applyAlignment="1">
      <alignment horizontal="center"/>
    </xf>
    <xf numFmtId="164" fontId="0" fillId="0" borderId="18" xfId="0" applyNumberFormat="1" applyBorder="1"/>
    <xf numFmtId="0" fontId="8" fillId="0" borderId="0" xfId="2" applyFont="1" applyBorder="1"/>
    <xf numFmtId="2" fontId="0" fillId="0" borderId="18" xfId="0" applyNumberFormat="1" applyBorder="1"/>
    <xf numFmtId="1" fontId="0" fillId="0" borderId="18" xfId="0" applyNumberFormat="1" applyBorder="1"/>
    <xf numFmtId="9" fontId="0" fillId="0" borderId="18" xfId="1" applyFont="1" applyBorder="1"/>
    <xf numFmtId="164" fontId="0" fillId="3" borderId="18" xfId="0" applyNumberFormat="1" applyFill="1" applyBorder="1"/>
    <xf numFmtId="0" fontId="2" fillId="0" borderId="17" xfId="0" applyFont="1" applyBorder="1"/>
    <xf numFmtId="0" fontId="0" fillId="3" borderId="18" xfId="0" applyFill="1" applyBorder="1" applyAlignment="1">
      <alignment horizontal="center"/>
    </xf>
    <xf numFmtId="0" fontId="0" fillId="3" borderId="18" xfId="0" applyFill="1" applyBorder="1"/>
    <xf numFmtId="164" fontId="0" fillId="0" borderId="18" xfId="0" applyNumberFormat="1" applyBorder="1" applyAlignment="1">
      <alignment horizontal="center"/>
    </xf>
    <xf numFmtId="0" fontId="7" fillId="0" borderId="17" xfId="2" applyFont="1" applyFill="1" applyBorder="1"/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20" xfId="2" applyFont="1" applyFill="1" applyBorder="1"/>
    <xf numFmtId="0" fontId="0" fillId="0" borderId="13" xfId="0" applyBorder="1"/>
    <xf numFmtId="0" fontId="0" fillId="0" borderId="14" xfId="0" applyBorder="1"/>
    <xf numFmtId="0" fontId="20" fillId="4" borderId="10" xfId="0" applyFont="1" applyFill="1" applyBorder="1"/>
    <xf numFmtId="0" fontId="20" fillId="4" borderId="14" xfId="0" applyFont="1" applyFill="1" applyBorder="1"/>
    <xf numFmtId="0" fontId="21" fillId="4" borderId="14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3" fillId="5" borderId="10" xfId="0" applyFont="1" applyFill="1" applyBorder="1"/>
    <xf numFmtId="0" fontId="0" fillId="5" borderId="14" xfId="0" applyFill="1" applyBorder="1"/>
    <xf numFmtId="0" fontId="0" fillId="5" borderId="11" xfId="0" applyFill="1" applyBorder="1"/>
    <xf numFmtId="0" fontId="0" fillId="0" borderId="22" xfId="0" applyBorder="1"/>
    <xf numFmtId="0" fontId="0" fillId="0" borderId="6" xfId="0" applyBorder="1"/>
    <xf numFmtId="0" fontId="7" fillId="0" borderId="6" xfId="2" applyFont="1" applyBorder="1"/>
    <xf numFmtId="0" fontId="0" fillId="5" borderId="21" xfId="0" applyFill="1" applyBorder="1"/>
    <xf numFmtId="0" fontId="7" fillId="0" borderId="6" xfId="2" applyFont="1" applyFill="1" applyBorder="1"/>
    <xf numFmtId="0" fontId="7" fillId="0" borderId="23" xfId="2" applyFont="1" applyFill="1" applyBorder="1"/>
    <xf numFmtId="0" fontId="0" fillId="0" borderId="24" xfId="0" applyBorder="1"/>
    <xf numFmtId="11" fontId="0" fillId="0" borderId="24" xfId="0" applyNumberFormat="1" applyBorder="1"/>
    <xf numFmtId="164" fontId="0" fillId="0" borderId="24" xfId="0" applyNumberFormat="1" applyBorder="1"/>
    <xf numFmtId="2" fontId="0" fillId="0" borderId="24" xfId="0" applyNumberFormat="1" applyBorder="1"/>
    <xf numFmtId="1" fontId="0" fillId="0" borderId="24" xfId="0" applyNumberFormat="1" applyBorder="1"/>
    <xf numFmtId="0" fontId="0" fillId="5" borderId="25" xfId="0" applyFill="1" applyBorder="1"/>
    <xf numFmtId="0" fontId="0" fillId="3" borderId="24" xfId="0" applyFill="1" applyBorder="1"/>
    <xf numFmtId="9" fontId="0" fillId="0" borderId="24" xfId="1" applyFont="1" applyBorder="1"/>
    <xf numFmtId="164" fontId="0" fillId="3" borderId="24" xfId="0" applyNumberFormat="1" applyFill="1" applyBorder="1"/>
    <xf numFmtId="164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9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/>
    <xf numFmtId="0" fontId="0" fillId="0" borderId="20" xfId="0" applyBorder="1"/>
    <xf numFmtId="14" fontId="0" fillId="0" borderId="13" xfId="0" applyNumberFormat="1" applyBorder="1"/>
    <xf numFmtId="0" fontId="0" fillId="0" borderId="19" xfId="0" applyBorder="1"/>
    <xf numFmtId="0" fontId="0" fillId="0" borderId="17" xfId="0" quotePrefix="1" applyBorder="1"/>
    <xf numFmtId="14" fontId="0" fillId="0" borderId="0" xfId="0" applyNumberFormat="1" applyBorder="1"/>
    <xf numFmtId="0" fontId="20" fillId="4" borderId="10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4" fillId="0" borderId="0" xfId="2" applyFont="1" applyBorder="1"/>
    <xf numFmtId="2" fontId="0" fillId="0" borderId="24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</cellXfs>
  <cellStyles count="3">
    <cellStyle name="Excel Built-in Normal" xfId="2" xr:uid="{0D1B7FAD-047D-DC46-9805-4AAE7E1632E4}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nolist/ownCloud/XFEL-T20/ELBEX-2/Plasma-Parameters.xlsx" TargetMode="External"/><Relationship Id="rId1" Type="http://schemas.openxmlformats.org/officeDocument/2006/relationships/externalLinkPath" Target="/Users/bennolist/ownCloud/XFEL-T20/ELBEX-2/Plasma-Parame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>
        <row r="5">
          <cell r="D5">
            <v>299800000</v>
          </cell>
        </row>
        <row r="6">
          <cell r="D6">
            <v>1.6021766299999999E-19</v>
          </cell>
        </row>
        <row r="7">
          <cell r="D7">
            <v>9.1093837000000001E-31</v>
          </cell>
        </row>
        <row r="8">
          <cell r="D8">
            <v>8.8539999999999992E-12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C556-B929-2447-9AC4-08373F16B5EA}">
  <dimension ref="B3:E26"/>
  <sheetViews>
    <sheetView workbookViewId="0">
      <selection activeCell="E15" sqref="E15"/>
    </sheetView>
  </sheetViews>
  <sheetFormatPr baseColWidth="10" defaultRowHeight="16" x14ac:dyDescent="0.2"/>
  <cols>
    <col min="2" max="2" width="10.83203125" customWidth="1"/>
  </cols>
  <sheetData>
    <row r="3" spans="2:5" ht="17" thickBot="1" x14ac:dyDescent="0.25"/>
    <row r="4" spans="2:5" ht="22" thickBot="1" x14ac:dyDescent="0.3">
      <c r="B4" s="98" t="s">
        <v>0</v>
      </c>
      <c r="C4" s="99"/>
      <c r="D4" s="99"/>
      <c r="E4" s="99"/>
    </row>
    <row r="5" spans="2:5" ht="17" thickBot="1" x14ac:dyDescent="0.25"/>
    <row r="6" spans="2:5" x14ac:dyDescent="0.2">
      <c r="B6" s="28" t="s">
        <v>2</v>
      </c>
      <c r="C6" s="29">
        <v>0.1</v>
      </c>
      <c r="D6" s="29"/>
      <c r="E6" s="92"/>
    </row>
    <row r="7" spans="2:5" ht="17" thickBot="1" x14ac:dyDescent="0.25">
      <c r="B7" s="93" t="s">
        <v>3</v>
      </c>
      <c r="C7" s="94">
        <v>45278</v>
      </c>
      <c r="D7" s="56"/>
      <c r="E7" s="95"/>
    </row>
    <row r="15" spans="2:5" ht="17" thickBot="1" x14ac:dyDescent="0.25"/>
    <row r="16" spans="2:5" ht="20" thickBot="1" x14ac:dyDescent="0.3">
      <c r="B16" s="100" t="s">
        <v>1</v>
      </c>
      <c r="C16" s="101"/>
      <c r="D16" s="101"/>
      <c r="E16" s="102"/>
    </row>
    <row r="17" spans="2:5" ht="17" thickBot="1" x14ac:dyDescent="0.25">
      <c r="B17" s="30"/>
      <c r="C17" s="31"/>
      <c r="D17" s="31"/>
      <c r="E17" s="32"/>
    </row>
    <row r="18" spans="2:5" ht="17" thickBot="1" x14ac:dyDescent="0.25">
      <c r="B18" s="20" t="s">
        <v>2</v>
      </c>
      <c r="C18" s="57" t="s">
        <v>3</v>
      </c>
      <c r="D18" s="57" t="s">
        <v>4</v>
      </c>
      <c r="E18" s="21"/>
    </row>
    <row r="19" spans="2:5" x14ac:dyDescent="0.2">
      <c r="B19" s="96" t="s">
        <v>5</v>
      </c>
      <c r="C19" s="97">
        <v>45278</v>
      </c>
      <c r="D19" s="31" t="s">
        <v>6</v>
      </c>
      <c r="E19" s="32"/>
    </row>
    <row r="20" spans="2:5" x14ac:dyDescent="0.2">
      <c r="B20" s="30"/>
      <c r="C20" s="31"/>
      <c r="D20" s="31"/>
      <c r="E20" s="32"/>
    </row>
    <row r="21" spans="2:5" x14ac:dyDescent="0.2">
      <c r="B21" s="30"/>
      <c r="C21" s="31"/>
      <c r="D21" s="31"/>
      <c r="E21" s="32"/>
    </row>
    <row r="22" spans="2:5" x14ac:dyDescent="0.2">
      <c r="B22" s="30"/>
      <c r="C22" s="31"/>
      <c r="D22" s="31"/>
      <c r="E22" s="32"/>
    </row>
    <row r="23" spans="2:5" x14ac:dyDescent="0.2">
      <c r="B23" s="30"/>
      <c r="C23" s="31"/>
      <c r="D23" s="31"/>
      <c r="E23" s="32"/>
    </row>
    <row r="24" spans="2:5" x14ac:dyDescent="0.2">
      <c r="B24" s="30"/>
      <c r="C24" s="31"/>
      <c r="D24" s="31"/>
      <c r="E24" s="32"/>
    </row>
    <row r="25" spans="2:5" x14ac:dyDescent="0.2">
      <c r="B25" s="30"/>
      <c r="C25" s="31"/>
      <c r="D25" s="31"/>
      <c r="E25" s="32"/>
    </row>
    <row r="26" spans="2:5" ht="17" thickBot="1" x14ac:dyDescent="0.25">
      <c r="B26" s="93"/>
      <c r="C26" s="56"/>
      <c r="D26" s="56"/>
      <c r="E26" s="95"/>
    </row>
  </sheetData>
  <mergeCells count="2">
    <mergeCell ref="B16:E16"/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50847-A674-F249-96DE-DDE6014F52B6}">
  <dimension ref="B1:I103"/>
  <sheetViews>
    <sheetView tabSelected="1" topLeftCell="A67" workbookViewId="0">
      <selection activeCell="I83" sqref="I83"/>
    </sheetView>
  </sheetViews>
  <sheetFormatPr baseColWidth="10" defaultRowHeight="16" x14ac:dyDescent="0.2"/>
  <cols>
    <col min="2" max="2" width="26.5" customWidth="1"/>
    <col min="5" max="5" width="2.83203125" customWidth="1"/>
    <col min="6" max="6" width="12.1640625" style="71" bestFit="1" customWidth="1"/>
    <col min="7" max="7" width="11.6640625" bestFit="1" customWidth="1"/>
  </cols>
  <sheetData>
    <row r="1" spans="2:7" ht="17" thickBot="1" x14ac:dyDescent="0.25"/>
    <row r="2" spans="2:7" ht="27" thickBot="1" x14ac:dyDescent="0.35">
      <c r="B2" s="103" t="s">
        <v>186</v>
      </c>
      <c r="C2" s="104"/>
      <c r="D2" s="104"/>
      <c r="E2" s="104"/>
      <c r="F2" s="104"/>
      <c r="G2" s="105"/>
    </row>
    <row r="4" spans="2:7" ht="17" thickBot="1" x14ac:dyDescent="0.25"/>
    <row r="5" spans="2:7" ht="22" thickBot="1" x14ac:dyDescent="0.3">
      <c r="B5" s="58" t="s">
        <v>7</v>
      </c>
      <c r="C5" s="59" t="s">
        <v>8</v>
      </c>
      <c r="D5" s="59" t="s">
        <v>9</v>
      </c>
      <c r="E5" s="59"/>
      <c r="F5" s="60" t="s">
        <v>80</v>
      </c>
      <c r="G5" s="61"/>
    </row>
    <row r="6" spans="2:7" x14ac:dyDescent="0.2">
      <c r="B6" s="30"/>
      <c r="C6" s="31"/>
      <c r="D6" s="65"/>
      <c r="E6" s="31"/>
      <c r="F6" s="71" t="s">
        <v>21</v>
      </c>
      <c r="G6" s="32" t="s">
        <v>22</v>
      </c>
    </row>
    <row r="7" spans="2:7" ht="19" x14ac:dyDescent="0.25">
      <c r="B7" s="30" t="s">
        <v>10</v>
      </c>
      <c r="C7" s="33" t="s">
        <v>18</v>
      </c>
      <c r="D7" s="66" t="s">
        <v>11</v>
      </c>
      <c r="E7" s="31"/>
      <c r="F7" s="82">
        <f>SQRT(4*F11*G11)</f>
        <v>250</v>
      </c>
      <c r="G7" s="34"/>
    </row>
    <row r="8" spans="2:7" ht="20" x14ac:dyDescent="0.25">
      <c r="B8" s="30" t="s">
        <v>12</v>
      </c>
      <c r="C8" s="33" t="s">
        <v>187</v>
      </c>
      <c r="D8" s="66" t="s">
        <v>188</v>
      </c>
      <c r="E8" s="31"/>
      <c r="F8" s="89">
        <v>0.81</v>
      </c>
      <c r="G8" s="40"/>
    </row>
    <row r="9" spans="2:7" ht="18" x14ac:dyDescent="0.25">
      <c r="B9" s="30" t="s">
        <v>13</v>
      </c>
      <c r="C9" s="106" t="s">
        <v>189</v>
      </c>
      <c r="D9" s="66"/>
      <c r="E9" s="31"/>
      <c r="F9" s="107">
        <f>(F11+G11)/F7</f>
        <v>2.125</v>
      </c>
      <c r="G9" s="108"/>
    </row>
    <row r="10" spans="2:7" ht="20" thickBot="1" x14ac:dyDescent="0.3">
      <c r="B10" s="30"/>
      <c r="C10" s="33"/>
      <c r="D10" s="66"/>
      <c r="E10" s="31"/>
      <c r="G10" s="32"/>
    </row>
    <row r="11" spans="2:7" ht="20" thickBot="1" x14ac:dyDescent="0.3">
      <c r="B11" s="30" t="s">
        <v>23</v>
      </c>
      <c r="C11" s="33"/>
      <c r="D11" s="66" t="s">
        <v>11</v>
      </c>
      <c r="E11" s="31"/>
      <c r="F11" s="19">
        <v>500</v>
      </c>
      <c r="G11" s="21">
        <v>31.25</v>
      </c>
    </row>
    <row r="12" spans="2:7" x14ac:dyDescent="0.2">
      <c r="B12" s="35" t="s">
        <v>48</v>
      </c>
      <c r="C12" s="106" t="s">
        <v>190</v>
      </c>
      <c r="D12" s="66"/>
      <c r="E12" s="31"/>
      <c r="F12" s="72">
        <f>F11/ElectronRestMass</f>
        <v>978467.83678373706</v>
      </c>
      <c r="G12" s="37">
        <f>G11/ElectronRestMass</f>
        <v>61154.239798983566</v>
      </c>
    </row>
    <row r="13" spans="2:7" x14ac:dyDescent="0.2">
      <c r="B13" s="35" t="s">
        <v>94</v>
      </c>
      <c r="C13" s="36"/>
      <c r="D13" s="66" t="s">
        <v>11</v>
      </c>
      <c r="E13" s="31"/>
      <c r="F13" s="71">
        <f>G11</f>
        <v>31.25</v>
      </c>
      <c r="G13" s="37"/>
    </row>
    <row r="14" spans="2:7" ht="17" thickBot="1" x14ac:dyDescent="0.25">
      <c r="B14" s="35"/>
      <c r="C14" s="36"/>
      <c r="D14" s="66"/>
      <c r="E14" s="31"/>
      <c r="G14" s="32"/>
    </row>
    <row r="15" spans="2:7" ht="20" thickBot="1" x14ac:dyDescent="0.3">
      <c r="B15" s="38" t="s">
        <v>14</v>
      </c>
      <c r="C15" s="39" t="s">
        <v>19</v>
      </c>
      <c r="D15" s="67" t="s">
        <v>15</v>
      </c>
      <c r="E15" s="31"/>
      <c r="F15" s="23">
        <v>100</v>
      </c>
      <c r="G15" s="24"/>
    </row>
    <row r="16" spans="2:7" ht="20" thickBot="1" x14ac:dyDescent="0.3">
      <c r="B16" s="38" t="s">
        <v>16</v>
      </c>
      <c r="C16" s="39" t="s">
        <v>20</v>
      </c>
      <c r="D16" s="67"/>
      <c r="E16" s="31"/>
      <c r="F16" s="23">
        <v>100</v>
      </c>
      <c r="G16" s="24"/>
    </row>
    <row r="17" spans="2:7" ht="20" thickBot="1" x14ac:dyDescent="0.3">
      <c r="B17" s="38" t="s">
        <v>67</v>
      </c>
      <c r="C17" s="39"/>
      <c r="D17" s="67" t="s">
        <v>68</v>
      </c>
      <c r="E17" s="31"/>
      <c r="F17" s="91">
        <f>F15*F16/1000</f>
        <v>10</v>
      </c>
      <c r="G17" s="24"/>
    </row>
    <row r="18" spans="2:7" ht="20" thickBot="1" x14ac:dyDescent="0.3">
      <c r="B18" s="38" t="s">
        <v>72</v>
      </c>
      <c r="C18" s="39"/>
      <c r="D18" s="67" t="s">
        <v>73</v>
      </c>
      <c r="E18" s="31"/>
      <c r="F18" s="23">
        <v>80</v>
      </c>
      <c r="G18" s="24"/>
    </row>
    <row r="19" spans="2:7" ht="21" thickBot="1" x14ac:dyDescent="0.3">
      <c r="B19" s="38" t="s">
        <v>24</v>
      </c>
      <c r="C19" s="39" t="s">
        <v>25</v>
      </c>
      <c r="D19" s="67" t="s">
        <v>17</v>
      </c>
      <c r="E19" s="31"/>
      <c r="F19" s="19">
        <v>1</v>
      </c>
      <c r="G19" s="19">
        <v>4</v>
      </c>
    </row>
    <row r="20" spans="2:7" ht="19" x14ac:dyDescent="0.25">
      <c r="B20" s="38" t="s">
        <v>77</v>
      </c>
      <c r="C20" s="39" t="s">
        <v>79</v>
      </c>
      <c r="D20" s="67" t="s">
        <v>78</v>
      </c>
      <c r="E20" s="31"/>
      <c r="F20" s="73">
        <f>F19*ElectronCharge*10000000000000000000</f>
        <v>1.6021799999999999</v>
      </c>
      <c r="G20" s="41">
        <f>G19*ElectronCharge*10000000000000000000</f>
        <v>6.4087199999999998</v>
      </c>
    </row>
    <row r="21" spans="2:7" x14ac:dyDescent="0.2">
      <c r="B21" s="38" t="s">
        <v>26</v>
      </c>
      <c r="C21" s="31"/>
      <c r="D21" s="67" t="s">
        <v>70</v>
      </c>
      <c r="E21" s="31"/>
      <c r="F21" s="73">
        <f>F17*F20</f>
        <v>16.021799999999999</v>
      </c>
      <c r="G21" s="41">
        <f>F17*G20</f>
        <v>64.087199999999996</v>
      </c>
    </row>
    <row r="22" spans="2:7" x14ac:dyDescent="0.2">
      <c r="B22" s="38" t="s">
        <v>66</v>
      </c>
      <c r="C22" s="31"/>
      <c r="D22" s="67" t="s">
        <v>71</v>
      </c>
      <c r="E22" s="31"/>
      <c r="F22" s="73">
        <f>F11*F21/1000</f>
        <v>8.0108999999999995</v>
      </c>
      <c r="G22" s="41">
        <f>G11*G21/1000</f>
        <v>2.0027249999999999</v>
      </c>
    </row>
    <row r="23" spans="2:7" x14ac:dyDescent="0.2">
      <c r="B23" s="38" t="s">
        <v>74</v>
      </c>
      <c r="C23" s="31"/>
      <c r="D23" s="67" t="s">
        <v>69</v>
      </c>
      <c r="E23" s="31"/>
      <c r="F23" s="73">
        <f>F20/F18*1000</f>
        <v>20.027249999999999</v>
      </c>
      <c r="G23" s="41">
        <f>G20/F18*1000</f>
        <v>80.108999999999995</v>
      </c>
    </row>
    <row r="24" spans="2:7" x14ac:dyDescent="0.2">
      <c r="B24" s="38" t="s">
        <v>75</v>
      </c>
      <c r="C24" s="31"/>
      <c r="D24" s="67" t="s">
        <v>76</v>
      </c>
      <c r="E24" s="31"/>
      <c r="F24" s="73">
        <f>F11*F23/1000</f>
        <v>10.013624999999999</v>
      </c>
      <c r="G24" s="41">
        <f>G11*G23/1000</f>
        <v>2.5034062499999998</v>
      </c>
    </row>
    <row r="25" spans="2:7" ht="17" thickBot="1" x14ac:dyDescent="0.25">
      <c r="B25" s="38" t="s">
        <v>27</v>
      </c>
      <c r="C25" s="31"/>
      <c r="D25" s="66"/>
      <c r="E25" s="31"/>
      <c r="G25" s="32"/>
    </row>
    <row r="26" spans="2:7" ht="17" thickBot="1" x14ac:dyDescent="0.25">
      <c r="B26" s="38" t="s">
        <v>28</v>
      </c>
      <c r="C26" s="31"/>
      <c r="D26" s="66" t="s">
        <v>29</v>
      </c>
      <c r="E26" s="31"/>
      <c r="F26" s="19">
        <v>18</v>
      </c>
      <c r="G26" s="19">
        <v>75</v>
      </c>
    </row>
    <row r="27" spans="2:7" ht="17" thickBot="1" x14ac:dyDescent="0.25">
      <c r="B27" s="38" t="s">
        <v>30</v>
      </c>
      <c r="C27" s="31"/>
      <c r="D27" s="66" t="s">
        <v>29</v>
      </c>
      <c r="E27" s="31"/>
      <c r="F27" s="19">
        <v>75</v>
      </c>
      <c r="G27" s="19">
        <v>75</v>
      </c>
    </row>
    <row r="28" spans="2:7" x14ac:dyDescent="0.2">
      <c r="B28" s="38" t="s">
        <v>31</v>
      </c>
      <c r="C28" s="31"/>
      <c r="D28" s="66" t="s">
        <v>32</v>
      </c>
      <c r="E28" s="31"/>
      <c r="F28" s="71">
        <v>0.15</v>
      </c>
      <c r="G28" s="32">
        <v>0.15</v>
      </c>
    </row>
    <row r="29" spans="2:7" ht="17" thickBot="1" x14ac:dyDescent="0.25">
      <c r="B29" s="30"/>
      <c r="C29" s="31"/>
      <c r="D29" s="66"/>
      <c r="E29" s="31"/>
      <c r="G29" s="32"/>
    </row>
    <row r="30" spans="2:7" ht="19" thickBot="1" x14ac:dyDescent="0.3">
      <c r="B30" s="38" t="s">
        <v>81</v>
      </c>
      <c r="C30" s="42" t="s">
        <v>85</v>
      </c>
      <c r="D30" s="66" t="s">
        <v>29</v>
      </c>
      <c r="E30" s="31"/>
      <c r="F30" s="19">
        <v>160</v>
      </c>
      <c r="G30" s="19">
        <v>10</v>
      </c>
    </row>
    <row r="31" spans="2:7" ht="19" thickBot="1" x14ac:dyDescent="0.3">
      <c r="B31" s="38" t="s">
        <v>82</v>
      </c>
      <c r="C31" s="42" t="s">
        <v>86</v>
      </c>
      <c r="D31" s="66" t="s">
        <v>33</v>
      </c>
      <c r="E31" s="31"/>
      <c r="F31" s="19">
        <v>560</v>
      </c>
      <c r="G31" s="19">
        <v>35</v>
      </c>
    </row>
    <row r="32" spans="2:7" ht="18" x14ac:dyDescent="0.25">
      <c r="B32" s="38" t="s">
        <v>83</v>
      </c>
      <c r="C32" s="42" t="s">
        <v>84</v>
      </c>
      <c r="D32" s="66" t="s">
        <v>33</v>
      </c>
      <c r="E32" s="31"/>
      <c r="F32" s="74">
        <f>F30/F12*1000</f>
        <v>0.16352095999999999</v>
      </c>
      <c r="G32" s="43">
        <f>G30/G12*1000</f>
        <v>0.16352095999999999</v>
      </c>
    </row>
    <row r="33" spans="2:7" ht="18" x14ac:dyDescent="0.25">
      <c r="B33" s="38" t="s">
        <v>82</v>
      </c>
      <c r="C33" s="42" t="s">
        <v>87</v>
      </c>
      <c r="D33" s="66" t="s">
        <v>88</v>
      </c>
      <c r="E33" s="31"/>
      <c r="F33" s="74">
        <f>F31/F12*1000</f>
        <v>0.57232335999999995</v>
      </c>
      <c r="G33" s="43">
        <f>G31/G12*1000</f>
        <v>0.57232335999999995</v>
      </c>
    </row>
    <row r="34" spans="2:7" ht="17" thickBot="1" x14ac:dyDescent="0.25">
      <c r="B34" s="38"/>
      <c r="C34" s="42"/>
      <c r="D34" s="67"/>
      <c r="E34" s="31"/>
      <c r="G34" s="32"/>
    </row>
    <row r="35" spans="2:7" ht="19" thickBot="1" x14ac:dyDescent="0.3">
      <c r="B35" s="38" t="s">
        <v>34</v>
      </c>
      <c r="C35" s="42" t="s">
        <v>37</v>
      </c>
      <c r="D35" s="67" t="s">
        <v>35</v>
      </c>
      <c r="E35" s="31"/>
      <c r="F35" s="19">
        <v>3.3</v>
      </c>
      <c r="G35" s="19">
        <v>3.3</v>
      </c>
    </row>
    <row r="36" spans="2:7" ht="19" thickBot="1" x14ac:dyDescent="0.3">
      <c r="B36" s="38" t="s">
        <v>36</v>
      </c>
      <c r="C36" s="42" t="s">
        <v>38</v>
      </c>
      <c r="D36" s="67" t="s">
        <v>35</v>
      </c>
      <c r="E36" s="31"/>
      <c r="F36" s="19">
        <v>0.1</v>
      </c>
      <c r="G36" s="19">
        <v>0.1</v>
      </c>
    </row>
    <row r="37" spans="2:7" x14ac:dyDescent="0.2">
      <c r="B37" s="30"/>
      <c r="C37" s="31"/>
      <c r="D37" s="66"/>
      <c r="E37" s="31"/>
      <c r="G37" s="32"/>
    </row>
    <row r="38" spans="2:7" ht="18" x14ac:dyDescent="0.25">
      <c r="B38" s="38" t="s">
        <v>39</v>
      </c>
      <c r="C38" s="42" t="s">
        <v>44</v>
      </c>
      <c r="D38" s="67" t="s">
        <v>33</v>
      </c>
      <c r="E38" s="31"/>
      <c r="F38" s="75">
        <f>1000*SQRT(F32*F35)</f>
        <v>734.5877537775865</v>
      </c>
      <c r="G38" s="44">
        <f>1000*SQRT(G32*G35)</f>
        <v>734.5877537775865</v>
      </c>
    </row>
    <row r="39" spans="2:7" ht="18" x14ac:dyDescent="0.25">
      <c r="B39" s="38" t="s">
        <v>40</v>
      </c>
      <c r="C39" s="42" t="s">
        <v>45</v>
      </c>
      <c r="D39" s="67" t="s">
        <v>33</v>
      </c>
      <c r="E39" s="31"/>
      <c r="F39" s="73">
        <f>1000*SQRT(0.001*F33*F36)</f>
        <v>7.5652056151832383</v>
      </c>
      <c r="G39" s="41">
        <f>1000*SQRT(0.001*G33*G36)</f>
        <v>7.5652056151832383</v>
      </c>
    </row>
    <row r="40" spans="2:7" ht="18" x14ac:dyDescent="0.25">
      <c r="B40" s="38" t="s">
        <v>41</v>
      </c>
      <c r="C40" s="42" t="s">
        <v>46</v>
      </c>
      <c r="D40" s="67" t="s">
        <v>42</v>
      </c>
      <c r="E40" s="31"/>
      <c r="F40" s="75">
        <f>SQRT(F32/F35)*1000</f>
        <v>222.60234962957165</v>
      </c>
      <c r="G40" s="44">
        <f>SQRT(G32/G35)*1000</f>
        <v>222.60234962957165</v>
      </c>
    </row>
    <row r="41" spans="2:7" ht="18" x14ac:dyDescent="0.25">
      <c r="B41" s="38" t="s">
        <v>43</v>
      </c>
      <c r="C41" s="42" t="s">
        <v>47</v>
      </c>
      <c r="D41" s="67" t="s">
        <v>42</v>
      </c>
      <c r="E41" s="31"/>
      <c r="F41" s="75">
        <f>SQRT(0.001*F33/F36)*1000</f>
        <v>75.652056151832369</v>
      </c>
      <c r="G41" s="44">
        <f>SQRT(0.001*G33/G36)*1000</f>
        <v>75.652056151832369</v>
      </c>
    </row>
    <row r="42" spans="2:7" x14ac:dyDescent="0.2">
      <c r="B42" s="30"/>
      <c r="C42" s="31"/>
      <c r="D42" s="66"/>
      <c r="E42" s="31"/>
      <c r="G42" s="32"/>
    </row>
    <row r="43" spans="2:7" x14ac:dyDescent="0.2">
      <c r="B43" s="30"/>
      <c r="C43" s="31"/>
      <c r="D43" s="66"/>
      <c r="E43" s="31"/>
      <c r="G43" s="32"/>
    </row>
    <row r="44" spans="2:7" ht="17" thickBot="1" x14ac:dyDescent="0.25">
      <c r="B44" s="30"/>
      <c r="C44" s="31"/>
      <c r="D44" s="66"/>
      <c r="E44" s="31"/>
      <c r="G44" s="32"/>
    </row>
    <row r="45" spans="2:7" ht="20" thickBot="1" x14ac:dyDescent="0.3">
      <c r="B45" s="62" t="s">
        <v>89</v>
      </c>
      <c r="C45" s="63"/>
      <c r="D45" s="68"/>
      <c r="E45" s="63"/>
      <c r="F45" s="76"/>
      <c r="G45" s="64"/>
    </row>
    <row r="46" spans="2:7" ht="17" thickBot="1" x14ac:dyDescent="0.25">
      <c r="B46" s="30"/>
      <c r="C46" s="31"/>
      <c r="D46" s="66"/>
      <c r="E46" s="31"/>
      <c r="G46" s="32"/>
    </row>
    <row r="47" spans="2:7" ht="17" thickBot="1" x14ac:dyDescent="0.25">
      <c r="B47" s="30" t="s">
        <v>90</v>
      </c>
      <c r="C47" s="31"/>
      <c r="D47" s="66"/>
      <c r="E47" s="31"/>
      <c r="F47" s="19">
        <v>16</v>
      </c>
      <c r="G47" s="32"/>
    </row>
    <row r="48" spans="2:7" x14ac:dyDescent="0.2">
      <c r="B48" s="30" t="s">
        <v>92</v>
      </c>
      <c r="C48" s="31"/>
      <c r="D48" s="66"/>
      <c r="E48" s="31"/>
      <c r="F48" s="77">
        <f>F11</f>
        <v>500</v>
      </c>
      <c r="G48" s="32"/>
    </row>
    <row r="49" spans="2:7" x14ac:dyDescent="0.2">
      <c r="B49" s="30" t="s">
        <v>98</v>
      </c>
      <c r="C49" s="31"/>
      <c r="D49" s="66"/>
      <c r="E49" s="31"/>
      <c r="F49" s="77">
        <f>F13</f>
        <v>31.25</v>
      </c>
      <c r="G49" s="32"/>
    </row>
    <row r="50" spans="2:7" x14ac:dyDescent="0.2">
      <c r="B50" s="30" t="s">
        <v>91</v>
      </c>
      <c r="C50" s="31"/>
      <c r="D50" s="66" t="s">
        <v>11</v>
      </c>
      <c r="E50" s="31"/>
      <c r="F50" s="71">
        <v>5</v>
      </c>
      <c r="G50" s="32"/>
    </row>
    <row r="51" spans="2:7" x14ac:dyDescent="0.2">
      <c r="B51" s="30"/>
      <c r="C51" s="31"/>
      <c r="D51" s="66"/>
      <c r="E51" s="31"/>
      <c r="F51" s="71" t="s">
        <v>99</v>
      </c>
      <c r="G51" s="32" t="s">
        <v>100</v>
      </c>
    </row>
    <row r="52" spans="2:7" x14ac:dyDescent="0.2">
      <c r="B52" s="30" t="s">
        <v>101</v>
      </c>
      <c r="C52" s="31"/>
      <c r="D52" s="66" t="s">
        <v>11</v>
      </c>
      <c r="E52" s="31"/>
      <c r="F52" s="71">
        <v>16</v>
      </c>
      <c r="G52" s="41">
        <f>(F48-F50-F52)/(F47-1)</f>
        <v>31.933333333333334</v>
      </c>
    </row>
    <row r="53" spans="2:7" x14ac:dyDescent="0.2">
      <c r="B53" s="30" t="s">
        <v>103</v>
      </c>
      <c r="C53" s="31"/>
      <c r="D53" s="66"/>
      <c r="E53" s="31"/>
      <c r="F53" s="78">
        <f>F52/F49</f>
        <v>0.51200000000000001</v>
      </c>
      <c r="G53" s="45">
        <f>G52/F49</f>
        <v>1.0218666666666667</v>
      </c>
    </row>
    <row r="54" spans="2:7" x14ac:dyDescent="0.2">
      <c r="B54" s="30" t="s">
        <v>104</v>
      </c>
      <c r="C54" s="31"/>
      <c r="D54" s="66" t="s">
        <v>105</v>
      </c>
      <c r="E54" s="31"/>
      <c r="F54" s="72">
        <v>7000000000000000</v>
      </c>
      <c r="G54" s="37">
        <v>7000000000000000</v>
      </c>
    </row>
    <row r="55" spans="2:7" x14ac:dyDescent="0.2">
      <c r="B55" s="30" t="s">
        <v>106</v>
      </c>
      <c r="C55" s="31" t="s">
        <v>107</v>
      </c>
      <c r="D55" s="66" t="s">
        <v>15</v>
      </c>
      <c r="E55" s="31"/>
      <c r="F55" s="72">
        <f>SQRT(F54*1000000*ElectronCharge^2/Vac_permittivity/ElectronMasskg)</f>
        <v>4719994183276.0957</v>
      </c>
      <c r="G55" s="37">
        <f>SQRT(G54*1000000*ElectronCharge^2/Vac_permittivity/ElectronMasskg)</f>
        <v>4719994183276.0957</v>
      </c>
    </row>
    <row r="56" spans="2:7" x14ac:dyDescent="0.2">
      <c r="B56" s="30" t="s">
        <v>108</v>
      </c>
      <c r="C56" s="31" t="s">
        <v>109</v>
      </c>
      <c r="D56" s="66" t="s">
        <v>110</v>
      </c>
      <c r="E56" s="31"/>
      <c r="F56" s="72">
        <f>F55/SpeedOfLight</f>
        <v>15744.205890850315</v>
      </c>
      <c r="G56" s="37">
        <f>G55/SpeedOfLight</f>
        <v>15744.205890850315</v>
      </c>
    </row>
    <row r="57" spans="2:7" x14ac:dyDescent="0.2">
      <c r="B57" s="30" t="s">
        <v>111</v>
      </c>
      <c r="C57" s="31" t="s">
        <v>112</v>
      </c>
      <c r="D57" s="66" t="s">
        <v>113</v>
      </c>
      <c r="E57" s="31"/>
      <c r="F57" s="74">
        <f>2*PI()/F56*1000000</f>
        <v>399.07921369543544</v>
      </c>
      <c r="G57" s="43">
        <f>2*PI()/G56*1000000</f>
        <v>399.07921369543544</v>
      </c>
    </row>
    <row r="58" spans="2:7" x14ac:dyDescent="0.2">
      <c r="B58" s="30" t="s">
        <v>114</v>
      </c>
      <c r="C58" s="31" t="s">
        <v>115</v>
      </c>
      <c r="D58" s="66" t="s">
        <v>116</v>
      </c>
      <c r="E58" s="31"/>
      <c r="F58" s="74">
        <f>0.96*SQRT(F54/100000000000000)</f>
        <v>8.0319362547271247</v>
      </c>
      <c r="G58" s="43">
        <f>0.96*SQRT(G54/100000000000000)</f>
        <v>8.0319362547271247</v>
      </c>
    </row>
    <row r="59" spans="2:7" x14ac:dyDescent="0.2">
      <c r="B59" s="30"/>
      <c r="C59" s="31"/>
      <c r="D59" s="66"/>
      <c r="E59" s="31"/>
      <c r="F59" s="74"/>
      <c r="G59" s="43"/>
    </row>
    <row r="60" spans="2:7" x14ac:dyDescent="0.2">
      <c r="B60" s="30" t="s">
        <v>128</v>
      </c>
      <c r="C60" s="31"/>
      <c r="D60" s="66" t="s">
        <v>32</v>
      </c>
      <c r="E60" s="31"/>
      <c r="F60" s="78">
        <v>0.36</v>
      </c>
      <c r="G60" s="45">
        <v>0.72</v>
      </c>
    </row>
    <row r="61" spans="2:7" x14ac:dyDescent="0.2">
      <c r="B61" s="30" t="s">
        <v>132</v>
      </c>
      <c r="C61" s="31"/>
      <c r="D61" s="66" t="s">
        <v>11</v>
      </c>
      <c r="E61" s="31"/>
      <c r="F61" s="75">
        <f>F49*F60</f>
        <v>11.25</v>
      </c>
      <c r="G61" s="44">
        <f>F49*G60</f>
        <v>22.5</v>
      </c>
    </row>
    <row r="62" spans="2:7" x14ac:dyDescent="0.2">
      <c r="B62" s="30" t="s">
        <v>129</v>
      </c>
      <c r="C62" s="31"/>
      <c r="D62" s="66" t="s">
        <v>11</v>
      </c>
      <c r="E62" s="31"/>
      <c r="F62" s="75">
        <f>F49-F61</f>
        <v>20</v>
      </c>
      <c r="G62" s="44">
        <f>F49-G61</f>
        <v>8.75</v>
      </c>
    </row>
    <row r="63" spans="2:7" x14ac:dyDescent="0.2">
      <c r="B63" s="30"/>
      <c r="C63" s="31"/>
      <c r="D63" s="66"/>
      <c r="E63" s="31"/>
      <c r="F63" s="75"/>
      <c r="G63" s="44"/>
    </row>
    <row r="64" spans="2:7" ht="17" thickBot="1" x14ac:dyDescent="0.25">
      <c r="B64" s="30"/>
      <c r="C64" s="31"/>
      <c r="D64" s="66"/>
      <c r="E64" s="31"/>
      <c r="G64" s="32"/>
    </row>
    <row r="65" spans="2:7" ht="17" thickBot="1" x14ac:dyDescent="0.25">
      <c r="B65" s="30" t="s">
        <v>126</v>
      </c>
      <c r="C65" s="31" t="s">
        <v>49</v>
      </c>
      <c r="D65" s="66" t="s">
        <v>116</v>
      </c>
      <c r="E65" s="31"/>
      <c r="F65" s="19">
        <v>6.4</v>
      </c>
      <c r="G65" s="19">
        <v>6.4</v>
      </c>
    </row>
    <row r="66" spans="2:7" x14ac:dyDescent="0.2">
      <c r="B66" s="30" t="s">
        <v>127</v>
      </c>
      <c r="C66" s="31"/>
      <c r="D66" s="66"/>
      <c r="E66" s="31"/>
      <c r="F66" s="78">
        <f>F65/F58</f>
        <v>0.79681907288959586</v>
      </c>
      <c r="G66" s="45">
        <f>G65/G58</f>
        <v>0.79681907288959586</v>
      </c>
    </row>
    <row r="67" spans="2:7" x14ac:dyDescent="0.2">
      <c r="B67" s="30" t="s">
        <v>130</v>
      </c>
      <c r="C67" s="31"/>
      <c r="D67" s="66" t="s">
        <v>54</v>
      </c>
      <c r="E67" s="31"/>
      <c r="F67" s="71">
        <f>F52/F65</f>
        <v>2.5</v>
      </c>
      <c r="G67" s="41">
        <f>G52/G65</f>
        <v>4.989583333333333</v>
      </c>
    </row>
    <row r="68" spans="2:7" x14ac:dyDescent="0.2">
      <c r="B68" s="30" t="s">
        <v>131</v>
      </c>
      <c r="C68" s="31"/>
      <c r="D68" s="66" t="s">
        <v>116</v>
      </c>
      <c r="E68" s="31"/>
      <c r="F68" s="71">
        <f>F61/F67</f>
        <v>4.5</v>
      </c>
      <c r="G68" s="41">
        <f>G61/G67</f>
        <v>4.5093945720250526</v>
      </c>
    </row>
    <row r="69" spans="2:7" x14ac:dyDescent="0.2">
      <c r="B69" s="30" t="s">
        <v>102</v>
      </c>
      <c r="C69" s="31"/>
      <c r="D69" s="66"/>
      <c r="E69" s="31"/>
      <c r="F69" s="73">
        <f>F65/F68</f>
        <v>1.4222222222222223</v>
      </c>
      <c r="G69" s="41">
        <f>G65/G68</f>
        <v>1.4192592592592592</v>
      </c>
    </row>
    <row r="70" spans="2:7" x14ac:dyDescent="0.2">
      <c r="B70" s="30"/>
      <c r="C70" s="31"/>
      <c r="D70" s="66"/>
      <c r="E70" s="31"/>
      <c r="F70" s="73"/>
      <c r="G70" s="41"/>
    </row>
    <row r="71" spans="2:7" x14ac:dyDescent="0.2">
      <c r="B71" s="30" t="s">
        <v>172</v>
      </c>
      <c r="C71" s="31"/>
      <c r="D71" s="66" t="s">
        <v>113</v>
      </c>
      <c r="E71" s="31"/>
      <c r="F71" s="73">
        <v>42</v>
      </c>
      <c r="G71" s="41">
        <v>42</v>
      </c>
    </row>
    <row r="72" spans="2:7" x14ac:dyDescent="0.2">
      <c r="B72" s="30" t="s">
        <v>173</v>
      </c>
      <c r="C72" s="31"/>
      <c r="D72" s="66" t="s">
        <v>113</v>
      </c>
      <c r="E72" s="31"/>
      <c r="F72" s="79">
        <f>F26</f>
        <v>18</v>
      </c>
      <c r="G72" s="46">
        <f>F26</f>
        <v>18</v>
      </c>
    </row>
    <row r="73" spans="2:7" ht="17" thickBot="1" x14ac:dyDescent="0.25">
      <c r="B73" s="30"/>
      <c r="C73" s="31"/>
      <c r="D73" s="66"/>
      <c r="E73" s="31"/>
      <c r="G73" s="32"/>
    </row>
    <row r="74" spans="2:7" ht="20" thickBot="1" x14ac:dyDescent="0.3">
      <c r="B74" s="62" t="s">
        <v>191</v>
      </c>
      <c r="C74" s="63"/>
      <c r="D74" s="68"/>
      <c r="E74" s="63"/>
      <c r="F74" s="76"/>
      <c r="G74" s="64"/>
    </row>
    <row r="75" spans="2:7" ht="17" thickBot="1" x14ac:dyDescent="0.25">
      <c r="B75" s="47"/>
      <c r="C75" s="31"/>
      <c r="D75" s="66"/>
      <c r="E75" s="31"/>
      <c r="F75" s="71" t="s">
        <v>21</v>
      </c>
      <c r="G75" s="32" t="s">
        <v>22</v>
      </c>
    </row>
    <row r="76" spans="2:7" ht="17" thickBot="1" x14ac:dyDescent="0.25">
      <c r="B76" s="30" t="s">
        <v>91</v>
      </c>
      <c r="C76" s="31"/>
      <c r="D76" s="66" t="s">
        <v>11</v>
      </c>
      <c r="E76" s="31"/>
      <c r="F76" s="23">
        <v>5</v>
      </c>
      <c r="G76" s="24"/>
    </row>
    <row r="77" spans="2:7" x14ac:dyDescent="0.2">
      <c r="B77" s="30" t="s">
        <v>134</v>
      </c>
      <c r="C77" s="31"/>
      <c r="D77" s="66"/>
      <c r="E77" s="31"/>
      <c r="F77" s="77">
        <f>F47</f>
        <v>16</v>
      </c>
      <c r="G77" s="32"/>
    </row>
    <row r="78" spans="2:7" ht="19" x14ac:dyDescent="0.25">
      <c r="B78" s="38" t="s">
        <v>14</v>
      </c>
      <c r="C78" s="39" t="s">
        <v>19</v>
      </c>
      <c r="D78" s="67" t="s">
        <v>15</v>
      </c>
      <c r="E78" s="31"/>
      <c r="F78" s="83">
        <f>F15</f>
        <v>100</v>
      </c>
      <c r="G78" s="48"/>
    </row>
    <row r="79" spans="2:7" ht="19" x14ac:dyDescent="0.25">
      <c r="B79" s="38" t="s">
        <v>16</v>
      </c>
      <c r="C79" s="39" t="s">
        <v>20</v>
      </c>
      <c r="D79" s="67"/>
      <c r="E79" s="31"/>
      <c r="F79" s="83">
        <f>F16</f>
        <v>100</v>
      </c>
      <c r="G79" s="48"/>
    </row>
    <row r="80" spans="2:7" ht="19" x14ac:dyDescent="0.25">
      <c r="B80" s="38" t="s">
        <v>137</v>
      </c>
      <c r="C80" s="39"/>
      <c r="D80" s="67" t="s">
        <v>68</v>
      </c>
      <c r="E80" s="31"/>
      <c r="F80" s="83">
        <f>F17</f>
        <v>10</v>
      </c>
      <c r="G80" s="48"/>
    </row>
    <row r="81" spans="2:9" x14ac:dyDescent="0.2">
      <c r="B81" s="30" t="s">
        <v>93</v>
      </c>
      <c r="C81" s="31"/>
      <c r="D81" s="66" t="s">
        <v>11</v>
      </c>
      <c r="E81" s="31"/>
      <c r="F81" s="77">
        <f>F13</f>
        <v>31.25</v>
      </c>
      <c r="G81" s="49">
        <f>G11</f>
        <v>31.25</v>
      </c>
    </row>
    <row r="82" spans="2:9" ht="17" thickBot="1" x14ac:dyDescent="0.25">
      <c r="B82" s="30" t="s">
        <v>97</v>
      </c>
      <c r="C82" s="31"/>
      <c r="D82" s="66" t="s">
        <v>73</v>
      </c>
      <c r="E82" s="31"/>
      <c r="F82" s="84">
        <f>F18</f>
        <v>80</v>
      </c>
      <c r="G82" s="85"/>
    </row>
    <row r="83" spans="2:9" ht="17" thickBot="1" x14ac:dyDescent="0.25">
      <c r="B83" s="30" t="s">
        <v>72</v>
      </c>
      <c r="C83" s="31"/>
      <c r="D83" s="66" t="s">
        <v>73</v>
      </c>
      <c r="E83" s="31"/>
      <c r="F83" s="25">
        <v>4</v>
      </c>
      <c r="G83" s="19">
        <v>16</v>
      </c>
      <c r="I83" t="s">
        <v>192</v>
      </c>
    </row>
    <row r="84" spans="2:9" x14ac:dyDescent="0.2">
      <c r="B84" s="30" t="s">
        <v>95</v>
      </c>
      <c r="C84" s="31"/>
      <c r="D84" s="66" t="s">
        <v>73</v>
      </c>
      <c r="E84" s="31"/>
      <c r="F84" s="73">
        <f>F77*F83</f>
        <v>64</v>
      </c>
      <c r="G84" s="32"/>
    </row>
    <row r="85" spans="2:9" ht="17" thickBot="1" x14ac:dyDescent="0.25">
      <c r="B85" s="30" t="s">
        <v>96</v>
      </c>
      <c r="C85" s="31"/>
      <c r="D85" s="66" t="s">
        <v>73</v>
      </c>
      <c r="E85" s="31"/>
      <c r="G85" s="41">
        <f>F82-F84</f>
        <v>16</v>
      </c>
    </row>
    <row r="86" spans="2:9" ht="21" thickBot="1" x14ac:dyDescent="0.3">
      <c r="B86" s="38" t="s">
        <v>24</v>
      </c>
      <c r="C86" s="39" t="s">
        <v>25</v>
      </c>
      <c r="D86" s="67" t="s">
        <v>17</v>
      </c>
      <c r="E86" s="31"/>
      <c r="F86" s="19">
        <v>2.7</v>
      </c>
      <c r="G86" s="49">
        <f>G19</f>
        <v>4</v>
      </c>
    </row>
    <row r="87" spans="2:9" ht="19" x14ac:dyDescent="0.25">
      <c r="B87" s="38" t="s">
        <v>77</v>
      </c>
      <c r="C87" s="39" t="s">
        <v>79</v>
      </c>
      <c r="D87" s="67" t="s">
        <v>78</v>
      </c>
      <c r="E87" s="31"/>
      <c r="F87" s="73">
        <f>F86*ElectronCharge*10000000000000000000</f>
        <v>4.3258860000000006</v>
      </c>
      <c r="G87" s="46">
        <f>G86*ElectronCharge*10000000000000000000</f>
        <v>6.4087199999999998</v>
      </c>
    </row>
    <row r="88" spans="2:9" ht="19" x14ac:dyDescent="0.25">
      <c r="B88" s="38" t="s">
        <v>136</v>
      </c>
      <c r="C88" s="39"/>
      <c r="D88" s="67" t="s">
        <v>70</v>
      </c>
      <c r="E88" s="31"/>
      <c r="F88" s="73">
        <f>F77*F80*F87</f>
        <v>692.14176000000009</v>
      </c>
      <c r="G88" s="41">
        <f>F80*G87</f>
        <v>64.087199999999996</v>
      </c>
    </row>
    <row r="89" spans="2:9" ht="19" x14ac:dyDescent="0.25">
      <c r="B89" s="38" t="s">
        <v>138</v>
      </c>
      <c r="C89" s="39"/>
      <c r="D89" s="67" t="s">
        <v>70</v>
      </c>
      <c r="E89" s="31"/>
      <c r="F89" s="82">
        <f>F88+G88</f>
        <v>756.22896000000014</v>
      </c>
      <c r="G89" s="34"/>
    </row>
    <row r="90" spans="2:9" ht="19" x14ac:dyDescent="0.25">
      <c r="B90" s="38" t="s">
        <v>139</v>
      </c>
      <c r="C90" s="39"/>
      <c r="D90" s="67" t="s">
        <v>71</v>
      </c>
      <c r="E90" s="31"/>
      <c r="F90" s="80">
        <f>(F81-F76)*F88/1000</f>
        <v>18.168721200000004</v>
      </c>
      <c r="G90" s="50">
        <f>(G81-F76)*G88/1000</f>
        <v>1.6822889999999999</v>
      </c>
    </row>
    <row r="91" spans="2:9" ht="19" x14ac:dyDescent="0.25">
      <c r="B91" s="38" t="s">
        <v>139</v>
      </c>
      <c r="C91" s="39"/>
      <c r="D91" s="67" t="s">
        <v>71</v>
      </c>
      <c r="E91" s="31"/>
      <c r="F91" s="82">
        <f>(F81-F76)*F89/1000</f>
        <v>19.851010200000005</v>
      </c>
      <c r="G91" s="34"/>
    </row>
    <row r="92" spans="2:9" x14ac:dyDescent="0.2">
      <c r="B92" s="30" t="s">
        <v>133</v>
      </c>
      <c r="C92" s="31"/>
      <c r="D92" s="66" t="s">
        <v>69</v>
      </c>
      <c r="E92" s="31"/>
      <c r="F92" s="75">
        <f>F77*F87/F82*1000</f>
        <v>865.17720000000008</v>
      </c>
      <c r="G92" s="44">
        <f>G87/F82*1000</f>
        <v>80.108999999999995</v>
      </c>
    </row>
    <row r="93" spans="2:9" x14ac:dyDescent="0.2">
      <c r="B93" s="30" t="s">
        <v>135</v>
      </c>
      <c r="C93" s="31"/>
      <c r="D93" s="66" t="s">
        <v>69</v>
      </c>
      <c r="E93" s="31"/>
      <c r="F93" s="82">
        <f>F92+G92</f>
        <v>945.28620000000012</v>
      </c>
      <c r="G93" s="34"/>
    </row>
    <row r="94" spans="2:9" x14ac:dyDescent="0.2">
      <c r="B94" s="51" t="s">
        <v>185</v>
      </c>
      <c r="C94" s="31"/>
      <c r="D94" s="69" t="s">
        <v>76</v>
      </c>
      <c r="E94" s="31"/>
      <c r="F94" s="81">
        <f>(F81-F76)*F92/1000</f>
        <v>22.710901500000002</v>
      </c>
      <c r="G94" s="52">
        <f>(G81-F76)*G92/1000</f>
        <v>2.1028612500000001</v>
      </c>
    </row>
    <row r="95" spans="2:9" ht="17" thickBot="1" x14ac:dyDescent="0.25">
      <c r="B95" s="51" t="s">
        <v>185</v>
      </c>
      <c r="C95" s="31"/>
      <c r="D95" s="69" t="s">
        <v>76</v>
      </c>
      <c r="E95" s="31"/>
      <c r="F95" s="86">
        <f>F94+G94</f>
        <v>24.813762750000002</v>
      </c>
      <c r="G95" s="53"/>
    </row>
    <row r="96" spans="2:9" ht="17" thickBot="1" x14ac:dyDescent="0.25">
      <c r="B96" s="51" t="s">
        <v>170</v>
      </c>
      <c r="C96" s="31"/>
      <c r="D96" s="69" t="s">
        <v>171</v>
      </c>
      <c r="E96" s="31"/>
      <c r="F96" s="23">
        <v>25</v>
      </c>
      <c r="G96" s="24"/>
    </row>
    <row r="97" spans="2:7" x14ac:dyDescent="0.2">
      <c r="B97" s="51" t="s">
        <v>182</v>
      </c>
      <c r="C97" s="31"/>
      <c r="D97" s="69" t="s">
        <v>183</v>
      </c>
      <c r="E97" s="31"/>
      <c r="F97" s="87">
        <f>(F81-F76)/F96</f>
        <v>1.05</v>
      </c>
      <c r="G97" s="54"/>
    </row>
    <row r="98" spans="2:7" x14ac:dyDescent="0.2">
      <c r="B98" s="51" t="s">
        <v>178</v>
      </c>
      <c r="C98" s="31"/>
      <c r="D98" s="69"/>
      <c r="E98" s="31"/>
      <c r="F98" s="88">
        <v>0.8</v>
      </c>
      <c r="G98" s="40"/>
    </row>
    <row r="99" spans="2:7" x14ac:dyDescent="0.2">
      <c r="B99" s="51" t="s">
        <v>174</v>
      </c>
      <c r="C99" s="31"/>
      <c r="D99" s="69" t="s">
        <v>171</v>
      </c>
      <c r="E99" s="31"/>
      <c r="F99" s="89">
        <f>F96/F98</f>
        <v>31.25</v>
      </c>
      <c r="G99" s="40"/>
    </row>
    <row r="100" spans="2:7" x14ac:dyDescent="0.2">
      <c r="B100" s="51" t="s">
        <v>181</v>
      </c>
      <c r="C100" s="31"/>
      <c r="D100" s="69" t="s">
        <v>180</v>
      </c>
      <c r="E100" s="31"/>
      <c r="F100" s="82">
        <f>F99*F89/1000</f>
        <v>23.632155000000004</v>
      </c>
      <c r="G100" s="34"/>
    </row>
    <row r="101" spans="2:7" ht="17" thickBot="1" x14ac:dyDescent="0.25">
      <c r="B101" s="51" t="s">
        <v>184</v>
      </c>
      <c r="C101" s="31"/>
      <c r="D101" s="69" t="s">
        <v>179</v>
      </c>
      <c r="E101" s="31"/>
      <c r="F101" s="86">
        <f>F99*F93/1000</f>
        <v>29.540193750000004</v>
      </c>
      <c r="G101" s="53"/>
    </row>
    <row r="102" spans="2:7" ht="17" thickBot="1" x14ac:dyDescent="0.25">
      <c r="B102" s="51" t="s">
        <v>175</v>
      </c>
      <c r="C102" s="31"/>
      <c r="D102" s="69" t="s">
        <v>176</v>
      </c>
      <c r="E102" s="31"/>
      <c r="F102" s="26">
        <v>1</v>
      </c>
      <c r="G102" s="27"/>
    </row>
    <row r="103" spans="2:7" ht="17" thickBot="1" x14ac:dyDescent="0.25">
      <c r="B103" s="55" t="s">
        <v>177</v>
      </c>
      <c r="C103" s="56"/>
      <c r="D103" s="70" t="s">
        <v>73</v>
      </c>
      <c r="E103" s="56"/>
      <c r="F103" s="90">
        <f>1/F102</f>
        <v>1</v>
      </c>
      <c r="G103" s="27"/>
    </row>
  </sheetData>
  <mergeCells count="26">
    <mergeCell ref="B2:G2"/>
    <mergeCell ref="F8:G8"/>
    <mergeCell ref="F9:G9"/>
    <mergeCell ref="F76:G76"/>
    <mergeCell ref="F5:G5"/>
    <mergeCell ref="F102:G102"/>
    <mergeCell ref="F103:G103"/>
    <mergeCell ref="F96:G96"/>
    <mergeCell ref="F98:G98"/>
    <mergeCell ref="F99:G99"/>
    <mergeCell ref="F100:G100"/>
    <mergeCell ref="F97:G97"/>
    <mergeCell ref="F101:G101"/>
    <mergeCell ref="F95:G95"/>
    <mergeCell ref="F15:G15"/>
    <mergeCell ref="F16:G16"/>
    <mergeCell ref="F17:G17"/>
    <mergeCell ref="F18:G18"/>
    <mergeCell ref="F7:G7"/>
    <mergeCell ref="F82:G82"/>
    <mergeCell ref="F93:G93"/>
    <mergeCell ref="F78:G78"/>
    <mergeCell ref="F79:G79"/>
    <mergeCell ref="F80:G80"/>
    <mergeCell ref="F89:G89"/>
    <mergeCell ref="F91:G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D3F62-8AA2-4A47-9F94-D1E5B78082E3}">
  <dimension ref="B1:F11"/>
  <sheetViews>
    <sheetView workbookViewId="0">
      <selection activeCell="E7" sqref="E7"/>
    </sheetView>
  </sheetViews>
  <sheetFormatPr baseColWidth="10" defaultColWidth="14.33203125" defaultRowHeight="16" customHeight="1" x14ac:dyDescent="0.2"/>
  <cols>
    <col min="1" max="1" width="7.33203125" style="4" customWidth="1"/>
    <col min="2" max="2" width="32.6640625" style="4" customWidth="1"/>
    <col min="3" max="3" width="3.5" style="4" customWidth="1"/>
    <col min="4" max="4" width="5.6640625" style="4" customWidth="1"/>
    <col min="5" max="5" width="11.5" style="4" customWidth="1"/>
    <col min="6" max="256" width="14.33203125" style="4"/>
    <col min="257" max="257" width="7.33203125" style="4" customWidth="1"/>
    <col min="258" max="258" width="32.6640625" style="4" customWidth="1"/>
    <col min="259" max="259" width="3.5" style="4" customWidth="1"/>
    <col min="260" max="260" width="11.5" style="4" customWidth="1"/>
    <col min="261" max="261" width="5.6640625" style="4" customWidth="1"/>
    <col min="262" max="512" width="14.33203125" style="4"/>
    <col min="513" max="513" width="7.33203125" style="4" customWidth="1"/>
    <col min="514" max="514" width="32.6640625" style="4" customWidth="1"/>
    <col min="515" max="515" width="3.5" style="4" customWidth="1"/>
    <col min="516" max="516" width="11.5" style="4" customWidth="1"/>
    <col min="517" max="517" width="5.6640625" style="4" customWidth="1"/>
    <col min="518" max="768" width="14.33203125" style="4"/>
    <col min="769" max="769" width="7.33203125" style="4" customWidth="1"/>
    <col min="770" max="770" width="32.6640625" style="4" customWidth="1"/>
    <col min="771" max="771" width="3.5" style="4" customWidth="1"/>
    <col min="772" max="772" width="11.5" style="4" customWidth="1"/>
    <col min="773" max="773" width="5.6640625" style="4" customWidth="1"/>
    <col min="774" max="1024" width="14.33203125" style="4"/>
    <col min="1025" max="1025" width="7.33203125" style="4" customWidth="1"/>
    <col min="1026" max="1026" width="32.6640625" style="4" customWidth="1"/>
    <col min="1027" max="1027" width="3.5" style="4" customWidth="1"/>
    <col min="1028" max="1028" width="11.5" style="4" customWidth="1"/>
    <col min="1029" max="1029" width="5.6640625" style="4" customWidth="1"/>
    <col min="1030" max="1280" width="14.33203125" style="4"/>
    <col min="1281" max="1281" width="7.33203125" style="4" customWidth="1"/>
    <col min="1282" max="1282" width="32.6640625" style="4" customWidth="1"/>
    <col min="1283" max="1283" width="3.5" style="4" customWidth="1"/>
    <col min="1284" max="1284" width="11.5" style="4" customWidth="1"/>
    <col min="1285" max="1285" width="5.6640625" style="4" customWidth="1"/>
    <col min="1286" max="1536" width="14.33203125" style="4"/>
    <col min="1537" max="1537" width="7.33203125" style="4" customWidth="1"/>
    <col min="1538" max="1538" width="32.6640625" style="4" customWidth="1"/>
    <col min="1539" max="1539" width="3.5" style="4" customWidth="1"/>
    <col min="1540" max="1540" width="11.5" style="4" customWidth="1"/>
    <col min="1541" max="1541" width="5.6640625" style="4" customWidth="1"/>
    <col min="1542" max="1792" width="14.33203125" style="4"/>
    <col min="1793" max="1793" width="7.33203125" style="4" customWidth="1"/>
    <col min="1794" max="1794" width="32.6640625" style="4" customWidth="1"/>
    <col min="1795" max="1795" width="3.5" style="4" customWidth="1"/>
    <col min="1796" max="1796" width="11.5" style="4" customWidth="1"/>
    <col min="1797" max="1797" width="5.6640625" style="4" customWidth="1"/>
    <col min="1798" max="2048" width="14.33203125" style="4"/>
    <col min="2049" max="2049" width="7.33203125" style="4" customWidth="1"/>
    <col min="2050" max="2050" width="32.6640625" style="4" customWidth="1"/>
    <col min="2051" max="2051" width="3.5" style="4" customWidth="1"/>
    <col min="2052" max="2052" width="11.5" style="4" customWidth="1"/>
    <col min="2053" max="2053" width="5.6640625" style="4" customWidth="1"/>
    <col min="2054" max="2304" width="14.33203125" style="4"/>
    <col min="2305" max="2305" width="7.33203125" style="4" customWidth="1"/>
    <col min="2306" max="2306" width="32.6640625" style="4" customWidth="1"/>
    <col min="2307" max="2307" width="3.5" style="4" customWidth="1"/>
    <col min="2308" max="2308" width="11.5" style="4" customWidth="1"/>
    <col min="2309" max="2309" width="5.6640625" style="4" customWidth="1"/>
    <col min="2310" max="2560" width="14.33203125" style="4"/>
    <col min="2561" max="2561" width="7.33203125" style="4" customWidth="1"/>
    <col min="2562" max="2562" width="32.6640625" style="4" customWidth="1"/>
    <col min="2563" max="2563" width="3.5" style="4" customWidth="1"/>
    <col min="2564" max="2564" width="11.5" style="4" customWidth="1"/>
    <col min="2565" max="2565" width="5.6640625" style="4" customWidth="1"/>
    <col min="2566" max="2816" width="14.33203125" style="4"/>
    <col min="2817" max="2817" width="7.33203125" style="4" customWidth="1"/>
    <col min="2818" max="2818" width="32.6640625" style="4" customWidth="1"/>
    <col min="2819" max="2819" width="3.5" style="4" customWidth="1"/>
    <col min="2820" max="2820" width="11.5" style="4" customWidth="1"/>
    <col min="2821" max="2821" width="5.6640625" style="4" customWidth="1"/>
    <col min="2822" max="3072" width="14.33203125" style="4"/>
    <col min="3073" max="3073" width="7.33203125" style="4" customWidth="1"/>
    <col min="3074" max="3074" width="32.6640625" style="4" customWidth="1"/>
    <col min="3075" max="3075" width="3.5" style="4" customWidth="1"/>
    <col min="3076" max="3076" width="11.5" style="4" customWidth="1"/>
    <col min="3077" max="3077" width="5.6640625" style="4" customWidth="1"/>
    <col min="3078" max="3328" width="14.33203125" style="4"/>
    <col min="3329" max="3329" width="7.33203125" style="4" customWidth="1"/>
    <col min="3330" max="3330" width="32.6640625" style="4" customWidth="1"/>
    <col min="3331" max="3331" width="3.5" style="4" customWidth="1"/>
    <col min="3332" max="3332" width="11.5" style="4" customWidth="1"/>
    <col min="3333" max="3333" width="5.6640625" style="4" customWidth="1"/>
    <col min="3334" max="3584" width="14.33203125" style="4"/>
    <col min="3585" max="3585" width="7.33203125" style="4" customWidth="1"/>
    <col min="3586" max="3586" width="32.6640625" style="4" customWidth="1"/>
    <col min="3587" max="3587" width="3.5" style="4" customWidth="1"/>
    <col min="3588" max="3588" width="11.5" style="4" customWidth="1"/>
    <col min="3589" max="3589" width="5.6640625" style="4" customWidth="1"/>
    <col min="3590" max="3840" width="14.33203125" style="4"/>
    <col min="3841" max="3841" width="7.33203125" style="4" customWidth="1"/>
    <col min="3842" max="3842" width="32.6640625" style="4" customWidth="1"/>
    <col min="3843" max="3843" width="3.5" style="4" customWidth="1"/>
    <col min="3844" max="3844" width="11.5" style="4" customWidth="1"/>
    <col min="3845" max="3845" width="5.6640625" style="4" customWidth="1"/>
    <col min="3846" max="4096" width="14.33203125" style="4"/>
    <col min="4097" max="4097" width="7.33203125" style="4" customWidth="1"/>
    <col min="4098" max="4098" width="32.6640625" style="4" customWidth="1"/>
    <col min="4099" max="4099" width="3.5" style="4" customWidth="1"/>
    <col min="4100" max="4100" width="11.5" style="4" customWidth="1"/>
    <col min="4101" max="4101" width="5.6640625" style="4" customWidth="1"/>
    <col min="4102" max="4352" width="14.33203125" style="4"/>
    <col min="4353" max="4353" width="7.33203125" style="4" customWidth="1"/>
    <col min="4354" max="4354" width="32.6640625" style="4" customWidth="1"/>
    <col min="4355" max="4355" width="3.5" style="4" customWidth="1"/>
    <col min="4356" max="4356" width="11.5" style="4" customWidth="1"/>
    <col min="4357" max="4357" width="5.6640625" style="4" customWidth="1"/>
    <col min="4358" max="4608" width="14.33203125" style="4"/>
    <col min="4609" max="4609" width="7.33203125" style="4" customWidth="1"/>
    <col min="4610" max="4610" width="32.6640625" style="4" customWidth="1"/>
    <col min="4611" max="4611" width="3.5" style="4" customWidth="1"/>
    <col min="4612" max="4612" width="11.5" style="4" customWidth="1"/>
    <col min="4613" max="4613" width="5.6640625" style="4" customWidth="1"/>
    <col min="4614" max="4864" width="14.33203125" style="4"/>
    <col min="4865" max="4865" width="7.33203125" style="4" customWidth="1"/>
    <col min="4866" max="4866" width="32.6640625" style="4" customWidth="1"/>
    <col min="4867" max="4867" width="3.5" style="4" customWidth="1"/>
    <col min="4868" max="4868" width="11.5" style="4" customWidth="1"/>
    <col min="4869" max="4869" width="5.6640625" style="4" customWidth="1"/>
    <col min="4870" max="5120" width="14.33203125" style="4"/>
    <col min="5121" max="5121" width="7.33203125" style="4" customWidth="1"/>
    <col min="5122" max="5122" width="32.6640625" style="4" customWidth="1"/>
    <col min="5123" max="5123" width="3.5" style="4" customWidth="1"/>
    <col min="5124" max="5124" width="11.5" style="4" customWidth="1"/>
    <col min="5125" max="5125" width="5.6640625" style="4" customWidth="1"/>
    <col min="5126" max="5376" width="14.33203125" style="4"/>
    <col min="5377" max="5377" width="7.33203125" style="4" customWidth="1"/>
    <col min="5378" max="5378" width="32.6640625" style="4" customWidth="1"/>
    <col min="5379" max="5379" width="3.5" style="4" customWidth="1"/>
    <col min="5380" max="5380" width="11.5" style="4" customWidth="1"/>
    <col min="5381" max="5381" width="5.6640625" style="4" customWidth="1"/>
    <col min="5382" max="5632" width="14.33203125" style="4"/>
    <col min="5633" max="5633" width="7.33203125" style="4" customWidth="1"/>
    <col min="5634" max="5634" width="32.6640625" style="4" customWidth="1"/>
    <col min="5635" max="5635" width="3.5" style="4" customWidth="1"/>
    <col min="5636" max="5636" width="11.5" style="4" customWidth="1"/>
    <col min="5637" max="5637" width="5.6640625" style="4" customWidth="1"/>
    <col min="5638" max="5888" width="14.33203125" style="4"/>
    <col min="5889" max="5889" width="7.33203125" style="4" customWidth="1"/>
    <col min="5890" max="5890" width="32.6640625" style="4" customWidth="1"/>
    <col min="5891" max="5891" width="3.5" style="4" customWidth="1"/>
    <col min="5892" max="5892" width="11.5" style="4" customWidth="1"/>
    <col min="5893" max="5893" width="5.6640625" style="4" customWidth="1"/>
    <col min="5894" max="6144" width="14.33203125" style="4"/>
    <col min="6145" max="6145" width="7.33203125" style="4" customWidth="1"/>
    <col min="6146" max="6146" width="32.6640625" style="4" customWidth="1"/>
    <col min="6147" max="6147" width="3.5" style="4" customWidth="1"/>
    <col min="6148" max="6148" width="11.5" style="4" customWidth="1"/>
    <col min="6149" max="6149" width="5.6640625" style="4" customWidth="1"/>
    <col min="6150" max="6400" width="14.33203125" style="4"/>
    <col min="6401" max="6401" width="7.33203125" style="4" customWidth="1"/>
    <col min="6402" max="6402" width="32.6640625" style="4" customWidth="1"/>
    <col min="6403" max="6403" width="3.5" style="4" customWidth="1"/>
    <col min="6404" max="6404" width="11.5" style="4" customWidth="1"/>
    <col min="6405" max="6405" width="5.6640625" style="4" customWidth="1"/>
    <col min="6406" max="6656" width="14.33203125" style="4"/>
    <col min="6657" max="6657" width="7.33203125" style="4" customWidth="1"/>
    <col min="6658" max="6658" width="32.6640625" style="4" customWidth="1"/>
    <col min="6659" max="6659" width="3.5" style="4" customWidth="1"/>
    <col min="6660" max="6660" width="11.5" style="4" customWidth="1"/>
    <col min="6661" max="6661" width="5.6640625" style="4" customWidth="1"/>
    <col min="6662" max="6912" width="14.33203125" style="4"/>
    <col min="6913" max="6913" width="7.33203125" style="4" customWidth="1"/>
    <col min="6914" max="6914" width="32.6640625" style="4" customWidth="1"/>
    <col min="6915" max="6915" width="3.5" style="4" customWidth="1"/>
    <col min="6916" max="6916" width="11.5" style="4" customWidth="1"/>
    <col min="6917" max="6917" width="5.6640625" style="4" customWidth="1"/>
    <col min="6918" max="7168" width="14.33203125" style="4"/>
    <col min="7169" max="7169" width="7.33203125" style="4" customWidth="1"/>
    <col min="7170" max="7170" width="32.6640625" style="4" customWidth="1"/>
    <col min="7171" max="7171" width="3.5" style="4" customWidth="1"/>
    <col min="7172" max="7172" width="11.5" style="4" customWidth="1"/>
    <col min="7173" max="7173" width="5.6640625" style="4" customWidth="1"/>
    <col min="7174" max="7424" width="14.33203125" style="4"/>
    <col min="7425" max="7425" width="7.33203125" style="4" customWidth="1"/>
    <col min="7426" max="7426" width="32.6640625" style="4" customWidth="1"/>
    <col min="7427" max="7427" width="3.5" style="4" customWidth="1"/>
    <col min="7428" max="7428" width="11.5" style="4" customWidth="1"/>
    <col min="7429" max="7429" width="5.6640625" style="4" customWidth="1"/>
    <col min="7430" max="7680" width="14.33203125" style="4"/>
    <col min="7681" max="7681" width="7.33203125" style="4" customWidth="1"/>
    <col min="7682" max="7682" width="32.6640625" style="4" customWidth="1"/>
    <col min="7683" max="7683" width="3.5" style="4" customWidth="1"/>
    <col min="7684" max="7684" width="11.5" style="4" customWidth="1"/>
    <col min="7685" max="7685" width="5.6640625" style="4" customWidth="1"/>
    <col min="7686" max="7936" width="14.33203125" style="4"/>
    <col min="7937" max="7937" width="7.33203125" style="4" customWidth="1"/>
    <col min="7938" max="7938" width="32.6640625" style="4" customWidth="1"/>
    <col min="7939" max="7939" width="3.5" style="4" customWidth="1"/>
    <col min="7940" max="7940" width="11.5" style="4" customWidth="1"/>
    <col min="7941" max="7941" width="5.6640625" style="4" customWidth="1"/>
    <col min="7942" max="8192" width="14.33203125" style="4"/>
    <col min="8193" max="8193" width="7.33203125" style="4" customWidth="1"/>
    <col min="8194" max="8194" width="32.6640625" style="4" customWidth="1"/>
    <col min="8195" max="8195" width="3.5" style="4" customWidth="1"/>
    <col min="8196" max="8196" width="11.5" style="4" customWidth="1"/>
    <col min="8197" max="8197" width="5.6640625" style="4" customWidth="1"/>
    <col min="8198" max="8448" width="14.33203125" style="4"/>
    <col min="8449" max="8449" width="7.33203125" style="4" customWidth="1"/>
    <col min="8450" max="8450" width="32.6640625" style="4" customWidth="1"/>
    <col min="8451" max="8451" width="3.5" style="4" customWidth="1"/>
    <col min="8452" max="8452" width="11.5" style="4" customWidth="1"/>
    <col min="8453" max="8453" width="5.6640625" style="4" customWidth="1"/>
    <col min="8454" max="8704" width="14.33203125" style="4"/>
    <col min="8705" max="8705" width="7.33203125" style="4" customWidth="1"/>
    <col min="8706" max="8706" width="32.6640625" style="4" customWidth="1"/>
    <col min="8707" max="8707" width="3.5" style="4" customWidth="1"/>
    <col min="8708" max="8708" width="11.5" style="4" customWidth="1"/>
    <col min="8709" max="8709" width="5.6640625" style="4" customWidth="1"/>
    <col min="8710" max="8960" width="14.33203125" style="4"/>
    <col min="8961" max="8961" width="7.33203125" style="4" customWidth="1"/>
    <col min="8962" max="8962" width="32.6640625" style="4" customWidth="1"/>
    <col min="8963" max="8963" width="3.5" style="4" customWidth="1"/>
    <col min="8964" max="8964" width="11.5" style="4" customWidth="1"/>
    <col min="8965" max="8965" width="5.6640625" style="4" customWidth="1"/>
    <col min="8966" max="9216" width="14.33203125" style="4"/>
    <col min="9217" max="9217" width="7.33203125" style="4" customWidth="1"/>
    <col min="9218" max="9218" width="32.6640625" style="4" customWidth="1"/>
    <col min="9219" max="9219" width="3.5" style="4" customWidth="1"/>
    <col min="9220" max="9220" width="11.5" style="4" customWidth="1"/>
    <col min="9221" max="9221" width="5.6640625" style="4" customWidth="1"/>
    <col min="9222" max="9472" width="14.33203125" style="4"/>
    <col min="9473" max="9473" width="7.33203125" style="4" customWidth="1"/>
    <col min="9474" max="9474" width="32.6640625" style="4" customWidth="1"/>
    <col min="9475" max="9475" width="3.5" style="4" customWidth="1"/>
    <col min="9476" max="9476" width="11.5" style="4" customWidth="1"/>
    <col min="9477" max="9477" width="5.6640625" style="4" customWidth="1"/>
    <col min="9478" max="9728" width="14.33203125" style="4"/>
    <col min="9729" max="9729" width="7.33203125" style="4" customWidth="1"/>
    <col min="9730" max="9730" width="32.6640625" style="4" customWidth="1"/>
    <col min="9731" max="9731" width="3.5" style="4" customWidth="1"/>
    <col min="9732" max="9732" width="11.5" style="4" customWidth="1"/>
    <col min="9733" max="9733" width="5.6640625" style="4" customWidth="1"/>
    <col min="9734" max="9984" width="14.33203125" style="4"/>
    <col min="9985" max="9985" width="7.33203125" style="4" customWidth="1"/>
    <col min="9986" max="9986" width="32.6640625" style="4" customWidth="1"/>
    <col min="9987" max="9987" width="3.5" style="4" customWidth="1"/>
    <col min="9988" max="9988" width="11.5" style="4" customWidth="1"/>
    <col min="9989" max="9989" width="5.6640625" style="4" customWidth="1"/>
    <col min="9990" max="10240" width="14.33203125" style="4"/>
    <col min="10241" max="10241" width="7.33203125" style="4" customWidth="1"/>
    <col min="10242" max="10242" width="32.6640625" style="4" customWidth="1"/>
    <col min="10243" max="10243" width="3.5" style="4" customWidth="1"/>
    <col min="10244" max="10244" width="11.5" style="4" customWidth="1"/>
    <col min="10245" max="10245" width="5.6640625" style="4" customWidth="1"/>
    <col min="10246" max="10496" width="14.33203125" style="4"/>
    <col min="10497" max="10497" width="7.33203125" style="4" customWidth="1"/>
    <col min="10498" max="10498" width="32.6640625" style="4" customWidth="1"/>
    <col min="10499" max="10499" width="3.5" style="4" customWidth="1"/>
    <col min="10500" max="10500" width="11.5" style="4" customWidth="1"/>
    <col min="10501" max="10501" width="5.6640625" style="4" customWidth="1"/>
    <col min="10502" max="10752" width="14.33203125" style="4"/>
    <col min="10753" max="10753" width="7.33203125" style="4" customWidth="1"/>
    <col min="10754" max="10754" width="32.6640625" style="4" customWidth="1"/>
    <col min="10755" max="10755" width="3.5" style="4" customWidth="1"/>
    <col min="10756" max="10756" width="11.5" style="4" customWidth="1"/>
    <col min="10757" max="10757" width="5.6640625" style="4" customWidth="1"/>
    <col min="10758" max="11008" width="14.33203125" style="4"/>
    <col min="11009" max="11009" width="7.33203125" style="4" customWidth="1"/>
    <col min="11010" max="11010" width="32.6640625" style="4" customWidth="1"/>
    <col min="11011" max="11011" width="3.5" style="4" customWidth="1"/>
    <col min="11012" max="11012" width="11.5" style="4" customWidth="1"/>
    <col min="11013" max="11013" width="5.6640625" style="4" customWidth="1"/>
    <col min="11014" max="11264" width="14.33203125" style="4"/>
    <col min="11265" max="11265" width="7.33203125" style="4" customWidth="1"/>
    <col min="11266" max="11266" width="32.6640625" style="4" customWidth="1"/>
    <col min="11267" max="11267" width="3.5" style="4" customWidth="1"/>
    <col min="11268" max="11268" width="11.5" style="4" customWidth="1"/>
    <col min="11269" max="11269" width="5.6640625" style="4" customWidth="1"/>
    <col min="11270" max="11520" width="14.33203125" style="4"/>
    <col min="11521" max="11521" width="7.33203125" style="4" customWidth="1"/>
    <col min="11522" max="11522" width="32.6640625" style="4" customWidth="1"/>
    <col min="11523" max="11523" width="3.5" style="4" customWidth="1"/>
    <col min="11524" max="11524" width="11.5" style="4" customWidth="1"/>
    <col min="11525" max="11525" width="5.6640625" style="4" customWidth="1"/>
    <col min="11526" max="11776" width="14.33203125" style="4"/>
    <col min="11777" max="11777" width="7.33203125" style="4" customWidth="1"/>
    <col min="11778" max="11778" width="32.6640625" style="4" customWidth="1"/>
    <col min="11779" max="11779" width="3.5" style="4" customWidth="1"/>
    <col min="11780" max="11780" width="11.5" style="4" customWidth="1"/>
    <col min="11781" max="11781" width="5.6640625" style="4" customWidth="1"/>
    <col min="11782" max="12032" width="14.33203125" style="4"/>
    <col min="12033" max="12033" width="7.33203125" style="4" customWidth="1"/>
    <col min="12034" max="12034" width="32.6640625" style="4" customWidth="1"/>
    <col min="12035" max="12035" width="3.5" style="4" customWidth="1"/>
    <col min="12036" max="12036" width="11.5" style="4" customWidth="1"/>
    <col min="12037" max="12037" width="5.6640625" style="4" customWidth="1"/>
    <col min="12038" max="12288" width="14.33203125" style="4"/>
    <col min="12289" max="12289" width="7.33203125" style="4" customWidth="1"/>
    <col min="12290" max="12290" width="32.6640625" style="4" customWidth="1"/>
    <col min="12291" max="12291" width="3.5" style="4" customWidth="1"/>
    <col min="12292" max="12292" width="11.5" style="4" customWidth="1"/>
    <col min="12293" max="12293" width="5.6640625" style="4" customWidth="1"/>
    <col min="12294" max="12544" width="14.33203125" style="4"/>
    <col min="12545" max="12545" width="7.33203125" style="4" customWidth="1"/>
    <col min="12546" max="12546" width="32.6640625" style="4" customWidth="1"/>
    <col min="12547" max="12547" width="3.5" style="4" customWidth="1"/>
    <col min="12548" max="12548" width="11.5" style="4" customWidth="1"/>
    <col min="12549" max="12549" width="5.6640625" style="4" customWidth="1"/>
    <col min="12550" max="12800" width="14.33203125" style="4"/>
    <col min="12801" max="12801" width="7.33203125" style="4" customWidth="1"/>
    <col min="12802" max="12802" width="32.6640625" style="4" customWidth="1"/>
    <col min="12803" max="12803" width="3.5" style="4" customWidth="1"/>
    <col min="12804" max="12804" width="11.5" style="4" customWidth="1"/>
    <col min="12805" max="12805" width="5.6640625" style="4" customWidth="1"/>
    <col min="12806" max="13056" width="14.33203125" style="4"/>
    <col min="13057" max="13057" width="7.33203125" style="4" customWidth="1"/>
    <col min="13058" max="13058" width="32.6640625" style="4" customWidth="1"/>
    <col min="13059" max="13059" width="3.5" style="4" customWidth="1"/>
    <col min="13060" max="13060" width="11.5" style="4" customWidth="1"/>
    <col min="13061" max="13061" width="5.6640625" style="4" customWidth="1"/>
    <col min="13062" max="13312" width="14.33203125" style="4"/>
    <col min="13313" max="13313" width="7.33203125" style="4" customWidth="1"/>
    <col min="13314" max="13314" width="32.6640625" style="4" customWidth="1"/>
    <col min="13315" max="13315" width="3.5" style="4" customWidth="1"/>
    <col min="13316" max="13316" width="11.5" style="4" customWidth="1"/>
    <col min="13317" max="13317" width="5.6640625" style="4" customWidth="1"/>
    <col min="13318" max="13568" width="14.33203125" style="4"/>
    <col min="13569" max="13569" width="7.33203125" style="4" customWidth="1"/>
    <col min="13570" max="13570" width="32.6640625" style="4" customWidth="1"/>
    <col min="13571" max="13571" width="3.5" style="4" customWidth="1"/>
    <col min="13572" max="13572" width="11.5" style="4" customWidth="1"/>
    <col min="13573" max="13573" width="5.6640625" style="4" customWidth="1"/>
    <col min="13574" max="13824" width="14.33203125" style="4"/>
    <col min="13825" max="13825" width="7.33203125" style="4" customWidth="1"/>
    <col min="13826" max="13826" width="32.6640625" style="4" customWidth="1"/>
    <col min="13827" max="13827" width="3.5" style="4" customWidth="1"/>
    <col min="13828" max="13828" width="11.5" style="4" customWidth="1"/>
    <col min="13829" max="13829" width="5.6640625" style="4" customWidth="1"/>
    <col min="13830" max="14080" width="14.33203125" style="4"/>
    <col min="14081" max="14081" width="7.33203125" style="4" customWidth="1"/>
    <col min="14082" max="14082" width="32.6640625" style="4" customWidth="1"/>
    <col min="14083" max="14083" width="3.5" style="4" customWidth="1"/>
    <col min="14084" max="14084" width="11.5" style="4" customWidth="1"/>
    <col min="14085" max="14085" width="5.6640625" style="4" customWidth="1"/>
    <col min="14086" max="14336" width="14.33203125" style="4"/>
    <col min="14337" max="14337" width="7.33203125" style="4" customWidth="1"/>
    <col min="14338" max="14338" width="32.6640625" style="4" customWidth="1"/>
    <col min="14339" max="14339" width="3.5" style="4" customWidth="1"/>
    <col min="14340" max="14340" width="11.5" style="4" customWidth="1"/>
    <col min="14341" max="14341" width="5.6640625" style="4" customWidth="1"/>
    <col min="14342" max="14592" width="14.33203125" style="4"/>
    <col min="14593" max="14593" width="7.33203125" style="4" customWidth="1"/>
    <col min="14594" max="14594" width="32.6640625" style="4" customWidth="1"/>
    <col min="14595" max="14595" width="3.5" style="4" customWidth="1"/>
    <col min="14596" max="14596" width="11.5" style="4" customWidth="1"/>
    <col min="14597" max="14597" width="5.6640625" style="4" customWidth="1"/>
    <col min="14598" max="14848" width="14.33203125" style="4"/>
    <col min="14849" max="14849" width="7.33203125" style="4" customWidth="1"/>
    <col min="14850" max="14850" width="32.6640625" style="4" customWidth="1"/>
    <col min="14851" max="14851" width="3.5" style="4" customWidth="1"/>
    <col min="14852" max="14852" width="11.5" style="4" customWidth="1"/>
    <col min="14853" max="14853" width="5.6640625" style="4" customWidth="1"/>
    <col min="14854" max="15104" width="14.33203125" style="4"/>
    <col min="15105" max="15105" width="7.33203125" style="4" customWidth="1"/>
    <col min="15106" max="15106" width="32.6640625" style="4" customWidth="1"/>
    <col min="15107" max="15107" width="3.5" style="4" customWidth="1"/>
    <col min="15108" max="15108" width="11.5" style="4" customWidth="1"/>
    <col min="15109" max="15109" width="5.6640625" style="4" customWidth="1"/>
    <col min="15110" max="15360" width="14.33203125" style="4"/>
    <col min="15361" max="15361" width="7.33203125" style="4" customWidth="1"/>
    <col min="15362" max="15362" width="32.6640625" style="4" customWidth="1"/>
    <col min="15363" max="15363" width="3.5" style="4" customWidth="1"/>
    <col min="15364" max="15364" width="11.5" style="4" customWidth="1"/>
    <col min="15365" max="15365" width="5.6640625" style="4" customWidth="1"/>
    <col min="15366" max="15616" width="14.33203125" style="4"/>
    <col min="15617" max="15617" width="7.33203125" style="4" customWidth="1"/>
    <col min="15618" max="15618" width="32.6640625" style="4" customWidth="1"/>
    <col min="15619" max="15619" width="3.5" style="4" customWidth="1"/>
    <col min="15620" max="15620" width="11.5" style="4" customWidth="1"/>
    <col min="15621" max="15621" width="5.6640625" style="4" customWidth="1"/>
    <col min="15622" max="15872" width="14.33203125" style="4"/>
    <col min="15873" max="15873" width="7.33203125" style="4" customWidth="1"/>
    <col min="15874" max="15874" width="32.6640625" style="4" customWidth="1"/>
    <col min="15875" max="15875" width="3.5" style="4" customWidth="1"/>
    <col min="15876" max="15876" width="11.5" style="4" customWidth="1"/>
    <col min="15877" max="15877" width="5.6640625" style="4" customWidth="1"/>
    <col min="15878" max="16128" width="14.33203125" style="4"/>
    <col min="16129" max="16129" width="7.33203125" style="4" customWidth="1"/>
    <col min="16130" max="16130" width="32.6640625" style="4" customWidth="1"/>
    <col min="16131" max="16131" width="3.5" style="4" customWidth="1"/>
    <col min="16132" max="16132" width="11.5" style="4" customWidth="1"/>
    <col min="16133" max="16133" width="5.6640625" style="4" customWidth="1"/>
    <col min="16134" max="16384" width="14.33203125" style="4"/>
  </cols>
  <sheetData>
    <row r="1" spans="2:6" ht="18" customHeight="1" x14ac:dyDescent="0.2">
      <c r="B1" s="3"/>
    </row>
    <row r="2" spans="2:6" ht="16" customHeight="1" x14ac:dyDescent="0.2">
      <c r="B2" s="6" t="s">
        <v>50</v>
      </c>
      <c r="C2" s="7"/>
      <c r="D2" s="14"/>
      <c r="E2" s="15"/>
    </row>
    <row r="3" spans="2:6" ht="17" customHeight="1" x14ac:dyDescent="0.2">
      <c r="B3" s="8" t="s">
        <v>51</v>
      </c>
      <c r="C3" s="9" t="s">
        <v>52</v>
      </c>
      <c r="D3" s="2"/>
      <c r="E3" s="13">
        <f>1/137.036</f>
        <v>7.2973525205055605E-3</v>
      </c>
    </row>
    <row r="4" spans="2:6" ht="17" customHeight="1" x14ac:dyDescent="0.25">
      <c r="B4" s="8" t="s">
        <v>53</v>
      </c>
      <c r="C4" s="10" t="s">
        <v>63</v>
      </c>
      <c r="D4" s="2" t="s">
        <v>54</v>
      </c>
      <c r="E4" s="13">
        <v>2.8179400000000002E-15</v>
      </c>
    </row>
    <row r="5" spans="2:6" ht="17" customHeight="1" x14ac:dyDescent="0.25">
      <c r="B5" s="8" t="s">
        <v>55</v>
      </c>
      <c r="C5" s="10" t="s">
        <v>64</v>
      </c>
      <c r="D5" s="2" t="s">
        <v>54</v>
      </c>
      <c r="E5" s="13">
        <v>2.42631E-12</v>
      </c>
    </row>
    <row r="6" spans="2:6" ht="17" customHeight="1" x14ac:dyDescent="0.25">
      <c r="B6" s="8" t="s">
        <v>56</v>
      </c>
      <c r="C6" s="10" t="s">
        <v>65</v>
      </c>
      <c r="D6" s="2" t="s">
        <v>11</v>
      </c>
      <c r="E6" s="13">
        <v>5.11003E-4</v>
      </c>
      <c r="F6" s="5"/>
    </row>
    <row r="7" spans="2:6" ht="17" customHeight="1" x14ac:dyDescent="0.2">
      <c r="B7" t="s">
        <v>123</v>
      </c>
      <c r="C7" t="s">
        <v>124</v>
      </c>
      <c r="D7" t="s">
        <v>125</v>
      </c>
      <c r="E7" s="18">
        <v>9.1093837000000001E-31</v>
      </c>
      <c r="F7" s="5"/>
    </row>
    <row r="8" spans="2:6" ht="16" customHeight="1" x14ac:dyDescent="0.2">
      <c r="B8" s="8" t="s">
        <v>57</v>
      </c>
      <c r="C8" s="10" t="s">
        <v>58</v>
      </c>
      <c r="D8" s="2" t="s">
        <v>59</v>
      </c>
      <c r="E8" s="13">
        <v>299792458</v>
      </c>
    </row>
    <row r="9" spans="2:6" ht="16" customHeight="1" x14ac:dyDescent="0.2">
      <c r="B9" s="11" t="s">
        <v>60</v>
      </c>
      <c r="C9" s="12" t="s">
        <v>61</v>
      </c>
      <c r="D9" s="16" t="s">
        <v>62</v>
      </c>
      <c r="E9" s="17">
        <v>1.60218E-19</v>
      </c>
    </row>
    <row r="10" spans="2:6" ht="16" customHeight="1" x14ac:dyDescent="0.2">
      <c r="B10" t="s">
        <v>117</v>
      </c>
      <c r="C10" t="s">
        <v>121</v>
      </c>
      <c r="D10" t="s">
        <v>118</v>
      </c>
      <c r="E10" s="18">
        <v>8.8541878128000006E-12</v>
      </c>
    </row>
    <row r="11" spans="2:6" ht="16" customHeight="1" x14ac:dyDescent="0.2">
      <c r="B11" t="s">
        <v>119</v>
      </c>
      <c r="C11" t="s">
        <v>122</v>
      </c>
      <c r="D11" t="s">
        <v>120</v>
      </c>
      <c r="E11" s="18">
        <v>1.2566370621200001E-7</v>
      </c>
      <c r="F11" s="5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A7BF-E597-1741-93AE-FE3B430BA2BF}">
  <dimension ref="B1:B42"/>
  <sheetViews>
    <sheetView workbookViewId="0">
      <selection activeCell="B8" sqref="B8"/>
    </sheetView>
  </sheetViews>
  <sheetFormatPr baseColWidth="10" defaultRowHeight="16" x14ac:dyDescent="0.2"/>
  <cols>
    <col min="2" max="2" width="121" customWidth="1"/>
  </cols>
  <sheetData>
    <row r="1" spans="2:2" ht="21" x14ac:dyDescent="0.25">
      <c r="B1" s="1" t="s">
        <v>140</v>
      </c>
    </row>
    <row r="4" spans="2:2" ht="17" x14ac:dyDescent="0.2">
      <c r="B4" s="22" t="s">
        <v>141</v>
      </c>
    </row>
    <row r="5" spans="2:2" ht="34" x14ac:dyDescent="0.2">
      <c r="B5" s="22" t="s">
        <v>142</v>
      </c>
    </row>
    <row r="6" spans="2:2" ht="17" x14ac:dyDescent="0.2">
      <c r="B6" s="22" t="s">
        <v>143</v>
      </c>
    </row>
    <row r="7" spans="2:2" ht="17" x14ac:dyDescent="0.2">
      <c r="B7" s="22" t="s">
        <v>148</v>
      </c>
    </row>
    <row r="8" spans="2:2" ht="17" x14ac:dyDescent="0.2">
      <c r="B8" s="22" t="s">
        <v>144</v>
      </c>
    </row>
    <row r="9" spans="2:2" ht="17" x14ac:dyDescent="0.2">
      <c r="B9" s="22" t="s">
        <v>145</v>
      </c>
    </row>
    <row r="10" spans="2:2" ht="17" x14ac:dyDescent="0.2">
      <c r="B10" s="22" t="s">
        <v>146</v>
      </c>
    </row>
    <row r="11" spans="2:2" ht="34" x14ac:dyDescent="0.2">
      <c r="B11" s="22" t="s">
        <v>147</v>
      </c>
    </row>
    <row r="12" spans="2:2" x14ac:dyDescent="0.2">
      <c r="B12" s="22"/>
    </row>
    <row r="13" spans="2:2" x14ac:dyDescent="0.2">
      <c r="B13" s="22"/>
    </row>
    <row r="14" spans="2:2" x14ac:dyDescent="0.2">
      <c r="B14" s="22"/>
    </row>
    <row r="15" spans="2:2" x14ac:dyDescent="0.2">
      <c r="B15" s="22"/>
    </row>
    <row r="16" spans="2:2" x14ac:dyDescent="0.2">
      <c r="B16" s="22"/>
    </row>
    <row r="17" spans="2:2" ht="17" x14ac:dyDescent="0.2">
      <c r="B17" s="22" t="s">
        <v>149</v>
      </c>
    </row>
    <row r="18" spans="2:2" ht="17" x14ac:dyDescent="0.2">
      <c r="B18" s="22" t="s">
        <v>150</v>
      </c>
    </row>
    <row r="19" spans="2:2" ht="17" x14ac:dyDescent="0.2">
      <c r="B19" s="22" t="s">
        <v>151</v>
      </c>
    </row>
    <row r="20" spans="2:2" ht="17" x14ac:dyDescent="0.2">
      <c r="B20" s="22" t="s">
        <v>152</v>
      </c>
    </row>
    <row r="21" spans="2:2" ht="17" x14ac:dyDescent="0.2">
      <c r="B21" s="22" t="s">
        <v>153</v>
      </c>
    </row>
    <row r="23" spans="2:2" ht="17" x14ac:dyDescent="0.2">
      <c r="B23" s="22" t="s">
        <v>154</v>
      </c>
    </row>
    <row r="24" spans="2:2" ht="17" x14ac:dyDescent="0.2">
      <c r="B24" s="22" t="s">
        <v>155</v>
      </c>
    </row>
    <row r="25" spans="2:2" ht="17" x14ac:dyDescent="0.2">
      <c r="B25" s="22" t="s">
        <v>166</v>
      </c>
    </row>
    <row r="26" spans="2:2" ht="17" x14ac:dyDescent="0.2">
      <c r="B26" s="22" t="s">
        <v>167</v>
      </c>
    </row>
    <row r="27" spans="2:2" ht="17" x14ac:dyDescent="0.2">
      <c r="B27" s="22" t="s">
        <v>168</v>
      </c>
    </row>
    <row r="28" spans="2:2" ht="17" x14ac:dyDescent="0.2">
      <c r="B28" s="22" t="s">
        <v>156</v>
      </c>
    </row>
    <row r="29" spans="2:2" ht="17" x14ac:dyDescent="0.2">
      <c r="B29" s="22" t="s">
        <v>157</v>
      </c>
    </row>
    <row r="30" spans="2:2" ht="17" x14ac:dyDescent="0.2">
      <c r="B30" s="22" t="s">
        <v>158</v>
      </c>
    </row>
    <row r="31" spans="2:2" ht="17" x14ac:dyDescent="0.2">
      <c r="B31" s="22" t="s">
        <v>160</v>
      </c>
    </row>
    <row r="32" spans="2:2" ht="17" x14ac:dyDescent="0.2">
      <c r="B32" s="22" t="s">
        <v>161</v>
      </c>
    </row>
    <row r="34" spans="2:2" ht="17" x14ac:dyDescent="0.2">
      <c r="B34" s="22" t="s">
        <v>159</v>
      </c>
    </row>
    <row r="35" spans="2:2" ht="17" x14ac:dyDescent="0.2">
      <c r="B35" s="22" t="s">
        <v>162</v>
      </c>
    </row>
    <row r="36" spans="2:2" ht="17" x14ac:dyDescent="0.2">
      <c r="B36" s="22" t="s">
        <v>164</v>
      </c>
    </row>
    <row r="37" spans="2:2" ht="17" x14ac:dyDescent="0.2">
      <c r="B37" s="22" t="s">
        <v>165</v>
      </c>
    </row>
    <row r="41" spans="2:2" ht="17" x14ac:dyDescent="0.2">
      <c r="B41" s="22" t="s">
        <v>163</v>
      </c>
    </row>
    <row r="42" spans="2:2" x14ac:dyDescent="0.2">
      <c r="B4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Title</vt:lpstr>
      <vt:lpstr>Main Parameters</vt:lpstr>
      <vt:lpstr>Constants etc.</vt:lpstr>
      <vt:lpstr>Notes and Remarks</vt:lpstr>
      <vt:lpstr>ClassicalElectronRadius</vt:lpstr>
      <vt:lpstr>ElectronCharge</vt:lpstr>
      <vt:lpstr>ElectronComptonWavelength</vt:lpstr>
      <vt:lpstr>ElectronMasskg</vt:lpstr>
      <vt:lpstr>ElectronRestMass</vt:lpstr>
      <vt:lpstr>FineStructureConstant</vt:lpstr>
      <vt:lpstr>ReciprocalFineStructureConstant</vt:lpstr>
      <vt:lpstr>SpeedOfLight</vt:lpstr>
      <vt:lpstr>Vac_permeability</vt:lpstr>
      <vt:lpstr>Vac_permittivity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Benno List</dc:creator>
  <cp:lastModifiedBy>Benno List</cp:lastModifiedBy>
  <dcterms:created xsi:type="dcterms:W3CDTF">2023-11-24T06:35:34Z</dcterms:created>
  <dcterms:modified xsi:type="dcterms:W3CDTF">2023-12-18T14:05:29Z</dcterms:modified>
</cp:coreProperties>
</file>